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/>
  <bookViews>
    <workbookView xWindow="10140" yWindow="0" windowWidth="10455" windowHeight="10905" tabRatio="639" firstSheet="1" activeTab="8"/>
  </bookViews>
  <sheets>
    <sheet name="Checklist" sheetId="57" r:id="rId1"/>
    <sheet name="F1" sheetId="58" r:id="rId2"/>
    <sheet name="F2" sheetId="66" r:id="rId3"/>
    <sheet name="F2.1" sheetId="67" r:id="rId4"/>
    <sheet name="F2.2" sheetId="68" r:id="rId5"/>
    <sheet name="F2.3" sheetId="69" r:id="rId6"/>
    <sheet name="F3" sheetId="93" r:id="rId7"/>
    <sheet name="F3.1" sheetId="101" r:id="rId8"/>
    <sheet name="F3.2" sheetId="109" r:id="rId9"/>
    <sheet name="F4" sheetId="102" r:id="rId10"/>
    <sheet name="F5" sheetId="103" r:id="rId11"/>
    <sheet name="F6" sheetId="104" r:id="rId12"/>
    <sheet name="F7" sheetId="105" r:id="rId13"/>
    <sheet name="F8" sheetId="106" r:id="rId14"/>
    <sheet name="F9" sheetId="64" r:id="rId15"/>
    <sheet name="F10" sheetId="81" r:id="rId16"/>
    <sheet name="F11" sheetId="107" r:id="rId17"/>
    <sheet name="F11.1" sheetId="111" r:id="rId18"/>
    <sheet name="F12" sheetId="110" r:id="rId19"/>
    <sheet name="F13" sheetId="71" r:id="rId20"/>
    <sheet name="F15" sheetId="91" r:id="rId21"/>
  </sheets>
  <externalReferences>
    <externalReference r:id="rId22"/>
    <externalReference r:id="rId23"/>
    <externalReference r:id="rId24"/>
  </externalReferences>
  <definedNames>
    <definedName name="__123Graph_A" localSheetId="6" hidden="1">[1]CE!#REF!</definedName>
    <definedName name="__123Graph_A" localSheetId="7" hidden="1">[1]CE!#REF!</definedName>
    <definedName name="__123Graph_A" localSheetId="9" hidden="1">[1]CE!#REF!</definedName>
    <definedName name="__123Graph_A" localSheetId="10" hidden="1">[1]CE!#REF!</definedName>
    <definedName name="__123Graph_A" localSheetId="11" hidden="1">[1]CE!#REF!</definedName>
    <definedName name="__123Graph_A" localSheetId="12" hidden="1">[1]CE!#REF!</definedName>
    <definedName name="__123Graph_A" localSheetId="13" hidden="1">[1]CE!#REF!</definedName>
    <definedName name="__123Graph_ASTNPLF" localSheetId="6" hidden="1">[1]CE!#REF!</definedName>
    <definedName name="__123Graph_ASTNPLF" localSheetId="7" hidden="1">[1]CE!#REF!</definedName>
    <definedName name="__123Graph_ASTNPLF" localSheetId="9" hidden="1">[1]CE!#REF!</definedName>
    <definedName name="__123Graph_ASTNPLF" localSheetId="10" hidden="1">[1]CE!#REF!</definedName>
    <definedName name="__123Graph_ASTNPLF" localSheetId="11" hidden="1">[1]CE!#REF!</definedName>
    <definedName name="__123Graph_ASTNPLF" localSheetId="12" hidden="1">[1]CE!#REF!</definedName>
    <definedName name="__123Graph_ASTNPLF" localSheetId="13" hidden="1">[1]CE!#REF!</definedName>
    <definedName name="__123Graph_B" localSheetId="6" hidden="1">[1]CE!#REF!</definedName>
    <definedName name="__123Graph_B" localSheetId="7" hidden="1">[1]CE!#REF!</definedName>
    <definedName name="__123Graph_B" localSheetId="9" hidden="1">[1]CE!#REF!</definedName>
    <definedName name="__123Graph_B" localSheetId="10" hidden="1">[1]CE!#REF!</definedName>
    <definedName name="__123Graph_B" localSheetId="11" hidden="1">[1]CE!#REF!</definedName>
    <definedName name="__123Graph_B" localSheetId="12" hidden="1">[1]CE!#REF!</definedName>
    <definedName name="__123Graph_B" localSheetId="13" hidden="1">[1]CE!#REF!</definedName>
    <definedName name="__123Graph_BSTNPLF" localSheetId="6" hidden="1">[1]CE!#REF!</definedName>
    <definedName name="__123Graph_BSTNPLF" localSheetId="7" hidden="1">[1]CE!#REF!</definedName>
    <definedName name="__123Graph_BSTNPLF" localSheetId="9" hidden="1">[1]CE!#REF!</definedName>
    <definedName name="__123Graph_BSTNPLF" localSheetId="10" hidden="1">[1]CE!#REF!</definedName>
    <definedName name="__123Graph_BSTNPLF" localSheetId="11" hidden="1">[1]CE!#REF!</definedName>
    <definedName name="__123Graph_BSTNPLF" localSheetId="12" hidden="1">[1]CE!#REF!</definedName>
    <definedName name="__123Graph_BSTNPLF" localSheetId="13" hidden="1">[1]CE!#REF!</definedName>
    <definedName name="__123Graph_C" localSheetId="6" hidden="1">[1]CE!#REF!</definedName>
    <definedName name="__123Graph_C" localSheetId="7" hidden="1">[1]CE!#REF!</definedName>
    <definedName name="__123Graph_C" localSheetId="9" hidden="1">[1]CE!#REF!</definedName>
    <definedName name="__123Graph_C" localSheetId="10" hidden="1">[1]CE!#REF!</definedName>
    <definedName name="__123Graph_C" localSheetId="11" hidden="1">[1]CE!#REF!</definedName>
    <definedName name="__123Graph_C" localSheetId="12" hidden="1">[1]CE!#REF!</definedName>
    <definedName name="__123Graph_C" localSheetId="13" hidden="1">[1]CE!#REF!</definedName>
    <definedName name="__123Graph_CSTNPLF" localSheetId="6" hidden="1">[1]CE!#REF!</definedName>
    <definedName name="__123Graph_CSTNPLF" localSheetId="7" hidden="1">[1]CE!#REF!</definedName>
    <definedName name="__123Graph_CSTNPLF" localSheetId="9" hidden="1">[1]CE!#REF!</definedName>
    <definedName name="__123Graph_CSTNPLF" localSheetId="10" hidden="1">[1]CE!#REF!</definedName>
    <definedName name="__123Graph_CSTNPLF" localSheetId="11" hidden="1">[1]CE!#REF!</definedName>
    <definedName name="__123Graph_CSTNPLF" localSheetId="12" hidden="1">[1]CE!#REF!</definedName>
    <definedName name="__123Graph_CSTNPLF" localSheetId="13" hidden="1">[1]CE!#REF!</definedName>
    <definedName name="__123Graph_X" localSheetId="6" hidden="1">[1]CE!#REF!</definedName>
    <definedName name="__123Graph_X" localSheetId="7" hidden="1">[1]CE!#REF!</definedName>
    <definedName name="__123Graph_X" localSheetId="9" hidden="1">[1]CE!#REF!</definedName>
    <definedName name="__123Graph_X" localSheetId="10" hidden="1">[1]CE!#REF!</definedName>
    <definedName name="__123Graph_X" localSheetId="11" hidden="1">[1]CE!#REF!</definedName>
    <definedName name="__123Graph_X" localSheetId="12" hidden="1">[1]CE!#REF!</definedName>
    <definedName name="__123Graph_X" localSheetId="13" hidden="1">[1]CE!#REF!</definedName>
    <definedName name="__123Graph_XSTNPLF" localSheetId="6" hidden="1">[1]CE!#REF!</definedName>
    <definedName name="__123Graph_XSTNPLF" localSheetId="7" hidden="1">[1]CE!#REF!</definedName>
    <definedName name="__123Graph_XSTNPLF" localSheetId="9" hidden="1">[1]CE!#REF!</definedName>
    <definedName name="__123Graph_XSTNPLF" localSheetId="10" hidden="1">[1]CE!#REF!</definedName>
    <definedName name="__123Graph_XSTNPLF" localSheetId="11" hidden="1">[1]CE!#REF!</definedName>
    <definedName name="__123Graph_XSTNPLF" localSheetId="12" hidden="1">[1]CE!#REF!</definedName>
    <definedName name="__123Graph_XSTNPLF" localSheetId="13" hidden="1">[1]CE!#REF!</definedName>
    <definedName name="_Fill" localSheetId="6" hidden="1">#REF!</definedName>
    <definedName name="_Fill" localSheetId="7" hidden="1">#REF!</definedName>
    <definedName name="_Fill" localSheetId="9" hidden="1">#REF!</definedName>
    <definedName name="_Fill" localSheetId="10" hidden="1">#REF!</definedName>
    <definedName name="_Fill" localSheetId="11" hidden="1">#REF!</definedName>
    <definedName name="_Fill" localSheetId="12" hidden="1">#REF!</definedName>
    <definedName name="_Fill" localSheetId="13" hidden="1">#REF!</definedName>
    <definedName name="_Order1" hidden="1">255</definedName>
    <definedName name="new" localSheetId="6" hidden="1">[2]CE!#REF!</definedName>
    <definedName name="new" localSheetId="7" hidden="1">[2]CE!#REF!</definedName>
    <definedName name="new" localSheetId="9" hidden="1">[2]CE!#REF!</definedName>
    <definedName name="new" localSheetId="10" hidden="1">[2]CE!#REF!</definedName>
    <definedName name="new" localSheetId="11" hidden="1">[2]CE!#REF!</definedName>
    <definedName name="new" localSheetId="12" hidden="1">[2]CE!#REF!</definedName>
    <definedName name="new" localSheetId="13" hidden="1">[2]CE!#REF!</definedName>
    <definedName name="_xlnm.Print_Area" localSheetId="0">Checklist!$A$1:$E$26</definedName>
    <definedName name="_xlnm.Print_Area" localSheetId="20">'F15'!$A$1:$Q$31</definedName>
    <definedName name="_xlnm.Print_Area" localSheetId="12">'F7'!$B$2:$J$23</definedName>
    <definedName name="xxxx" localSheetId="6" hidden="1">[3]CE!#REF!</definedName>
    <definedName name="xxxx" localSheetId="7" hidden="1">[3]CE!#REF!</definedName>
    <definedName name="xxxx" localSheetId="9" hidden="1">[3]CE!#REF!</definedName>
    <definedName name="xxxx" localSheetId="10" hidden="1">[3]CE!#REF!</definedName>
    <definedName name="xxxx" localSheetId="11" hidden="1">[3]CE!#REF!</definedName>
    <definedName name="xxxx" localSheetId="12" hidden="1">[3]CE!#REF!</definedName>
    <definedName name="xxxx" localSheetId="13" hidden="1">[3]CE!#REF!</definedName>
  </definedNames>
  <calcPr calcId="144525" iterate="1" iterateCount="10000" iterateDelta="1.0000000000000001E-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6" i="101" l="1"/>
  <c r="H15" i="101"/>
  <c r="H16" i="101" s="1"/>
  <c r="G15" i="101"/>
  <c r="H12" i="101"/>
  <c r="H11" i="101"/>
  <c r="H10" i="101"/>
  <c r="H9" i="101"/>
  <c r="H8" i="101"/>
  <c r="H13" i="101" s="1"/>
  <c r="K29" i="81"/>
  <c r="Q30" i="91"/>
  <c r="Q24" i="91"/>
  <c r="Q22" i="91"/>
  <c r="Q21" i="91"/>
  <c r="Q20" i="91"/>
  <c r="Q18" i="91"/>
  <c r="Q14" i="91"/>
  <c r="Q15" i="91"/>
  <c r="Q16" i="91"/>
  <c r="Q13" i="91"/>
  <c r="E55" i="103"/>
  <c r="F43" i="103"/>
  <c r="F54" i="103" s="1"/>
  <c r="E43" i="103"/>
  <c r="E54" i="103" s="1"/>
  <c r="E42" i="103"/>
  <c r="F39" i="103" s="1"/>
  <c r="F33" i="103"/>
  <c r="E45" i="103" l="1"/>
  <c r="D34" i="103"/>
  <c r="E18" i="69" l="1"/>
  <c r="F18" i="69"/>
  <c r="D18" i="69"/>
  <c r="J19" i="58" l="1"/>
  <c r="G53" i="102"/>
  <c r="H53" i="102"/>
  <c r="K53" i="102"/>
  <c r="L53" i="102"/>
  <c r="G37" i="102"/>
  <c r="H37" i="102"/>
  <c r="K37" i="102"/>
  <c r="L37" i="102"/>
  <c r="G21" i="102"/>
  <c r="H21" i="102"/>
  <c r="J21" i="102"/>
  <c r="K21" i="102"/>
  <c r="L21" i="102"/>
  <c r="F21" i="102"/>
  <c r="I30" i="81"/>
  <c r="I29" i="81"/>
  <c r="I28" i="81" s="1"/>
  <c r="L19" i="58" l="1"/>
  <c r="E14" i="110"/>
  <c r="G38" i="81"/>
  <c r="G34" i="81"/>
  <c r="F29" i="81"/>
  <c r="F30" i="81"/>
  <c r="B41" i="81"/>
  <c r="B42" i="81" s="1"/>
  <c r="B37" i="81"/>
  <c r="B38" i="81" s="1"/>
  <c r="B33" i="81"/>
  <c r="B34" i="81" s="1"/>
  <c r="K30" i="81"/>
  <c r="B27" i="81"/>
  <c r="B28" i="81" s="1"/>
  <c r="B29" i="81" s="1"/>
  <c r="B30" i="81" s="1"/>
  <c r="G24" i="81"/>
  <c r="G23" i="81"/>
  <c r="G30" i="81" s="1"/>
  <c r="B23" i="81"/>
  <c r="B24" i="81" s="1"/>
  <c r="B19" i="81"/>
  <c r="B20" i="81" s="1"/>
  <c r="G16" i="81"/>
  <c r="B15" i="81"/>
  <c r="B16" i="81" s="1"/>
  <c r="F28" i="81" l="1"/>
  <c r="G28" i="81" s="1"/>
  <c r="G29" i="81"/>
  <c r="N29" i="71"/>
  <c r="M29" i="71"/>
  <c r="L29" i="71"/>
  <c r="K29" i="71"/>
  <c r="J29" i="71"/>
  <c r="I29" i="71"/>
  <c r="H29" i="71"/>
  <c r="G29" i="71"/>
  <c r="F29" i="71"/>
  <c r="E29" i="71"/>
  <c r="D29" i="71"/>
  <c r="C29" i="71"/>
  <c r="N27" i="71"/>
  <c r="N31" i="71" s="1"/>
  <c r="M27" i="71"/>
  <c r="M31" i="71" s="1"/>
  <c r="L27" i="71"/>
  <c r="L31" i="71" s="1"/>
  <c r="K27" i="71"/>
  <c r="K31" i="71" s="1"/>
  <c r="J27" i="71"/>
  <c r="J31" i="71" s="1"/>
  <c r="I27" i="71"/>
  <c r="I31" i="71" s="1"/>
  <c r="H27" i="71"/>
  <c r="H31" i="71" s="1"/>
  <c r="G27" i="71"/>
  <c r="G31" i="71" s="1"/>
  <c r="F27" i="71"/>
  <c r="F31" i="71" s="1"/>
  <c r="E27" i="71"/>
  <c r="E31" i="71" s="1"/>
  <c r="D27" i="71"/>
  <c r="D31" i="71" s="1"/>
  <c r="C27" i="71"/>
  <c r="N20" i="71"/>
  <c r="M20" i="71"/>
  <c r="L20" i="71"/>
  <c r="K20" i="71"/>
  <c r="J20" i="71"/>
  <c r="I20" i="71"/>
  <c r="H20" i="71"/>
  <c r="G20" i="71"/>
  <c r="F20" i="71"/>
  <c r="E20" i="71"/>
  <c r="D20" i="71"/>
  <c r="C20" i="71"/>
  <c r="N18" i="71"/>
  <c r="N22" i="71" s="1"/>
  <c r="M18" i="71"/>
  <c r="M22" i="71" s="1"/>
  <c r="L18" i="71"/>
  <c r="L22" i="71" s="1"/>
  <c r="K18" i="71"/>
  <c r="K22" i="71" s="1"/>
  <c r="J18" i="71"/>
  <c r="J22" i="71" s="1"/>
  <c r="I18" i="71"/>
  <c r="I22" i="71" s="1"/>
  <c r="H18" i="71"/>
  <c r="H22" i="71" s="1"/>
  <c r="G18" i="71"/>
  <c r="G22" i="71" s="1"/>
  <c r="F18" i="71"/>
  <c r="F22" i="71" s="1"/>
  <c r="E18" i="71"/>
  <c r="E22" i="71" s="1"/>
  <c r="D18" i="71"/>
  <c r="D22" i="71" s="1"/>
  <c r="C18" i="71"/>
  <c r="N10" i="71"/>
  <c r="M10" i="71"/>
  <c r="L10" i="71"/>
  <c r="K10" i="71"/>
  <c r="J10" i="71"/>
  <c r="I10" i="71"/>
  <c r="H10" i="71"/>
  <c r="G10" i="71"/>
  <c r="F10" i="71"/>
  <c r="E10" i="71"/>
  <c r="D10" i="71"/>
  <c r="C10" i="71"/>
  <c r="N8" i="71"/>
  <c r="N12" i="71" s="1"/>
  <c r="M8" i="71"/>
  <c r="M12" i="71" s="1"/>
  <c r="L8" i="71"/>
  <c r="L12" i="71" s="1"/>
  <c r="K8" i="71"/>
  <c r="K12" i="71" s="1"/>
  <c r="J8" i="71"/>
  <c r="J12" i="71" s="1"/>
  <c r="I8" i="71"/>
  <c r="H8" i="71"/>
  <c r="H12" i="71" s="1"/>
  <c r="G8" i="71"/>
  <c r="G12" i="71" s="1"/>
  <c r="F8" i="71"/>
  <c r="F12" i="71" s="1"/>
  <c r="E8" i="71"/>
  <c r="E12" i="71" s="1"/>
  <c r="D8" i="71"/>
  <c r="D12" i="71" s="1"/>
  <c r="C8" i="71"/>
  <c r="B51" i="107"/>
  <c r="B52" i="107" s="1"/>
  <c r="B53" i="107" s="1"/>
  <c r="V31" i="107"/>
  <c r="U31" i="107"/>
  <c r="T31" i="107"/>
  <c r="S31" i="107"/>
  <c r="R31" i="107"/>
  <c r="Q31" i="107"/>
  <c r="P31" i="107"/>
  <c r="O31" i="107"/>
  <c r="N31" i="107"/>
  <c r="M31" i="107"/>
  <c r="L31" i="107"/>
  <c r="K31" i="107"/>
  <c r="J31" i="107"/>
  <c r="I31" i="107"/>
  <c r="H31" i="107"/>
  <c r="G31" i="107"/>
  <c r="F31" i="107"/>
  <c r="E31" i="107"/>
  <c r="V21" i="107"/>
  <c r="U21" i="107"/>
  <c r="U32" i="107" s="1"/>
  <c r="T21" i="107"/>
  <c r="S21" i="107"/>
  <c r="R21" i="107"/>
  <c r="Q21" i="107"/>
  <c r="Q32" i="107" s="1"/>
  <c r="P21" i="107"/>
  <c r="O21" i="107"/>
  <c r="N21" i="107"/>
  <c r="M21" i="107"/>
  <c r="M32" i="107" s="1"/>
  <c r="L21" i="107"/>
  <c r="K21" i="107"/>
  <c r="J21" i="107"/>
  <c r="I21" i="107"/>
  <c r="I32" i="107" s="1"/>
  <c r="H21" i="107"/>
  <c r="G21" i="107"/>
  <c r="F21" i="107"/>
  <c r="E21" i="107"/>
  <c r="E32" i="107" s="1"/>
  <c r="V14" i="107"/>
  <c r="V16" i="107" s="1"/>
  <c r="U14" i="107"/>
  <c r="U16" i="107" s="1"/>
  <c r="T14" i="107"/>
  <c r="T16" i="107" s="1"/>
  <c r="S14" i="107"/>
  <c r="S16" i="107" s="1"/>
  <c r="R14" i="107"/>
  <c r="R16" i="107" s="1"/>
  <c r="Q14" i="107"/>
  <c r="Q16" i="107" s="1"/>
  <c r="P14" i="107"/>
  <c r="P16" i="107" s="1"/>
  <c r="O14" i="107"/>
  <c r="O16" i="107" s="1"/>
  <c r="N14" i="107"/>
  <c r="N16" i="107" s="1"/>
  <c r="M14" i="107"/>
  <c r="M16" i="107" s="1"/>
  <c r="L14" i="107"/>
  <c r="L16" i="107" s="1"/>
  <c r="K14" i="107"/>
  <c r="K16" i="107" s="1"/>
  <c r="J14" i="107"/>
  <c r="J16" i="107" s="1"/>
  <c r="I14" i="107"/>
  <c r="I16" i="107" s="1"/>
  <c r="H14" i="107"/>
  <c r="H16" i="107" s="1"/>
  <c r="G14" i="107"/>
  <c r="G16" i="107" s="1"/>
  <c r="F14" i="107"/>
  <c r="F16" i="107" s="1"/>
  <c r="E14" i="107"/>
  <c r="E16" i="107" s="1"/>
  <c r="B10" i="107"/>
  <c r="B12" i="107" s="1"/>
  <c r="B13" i="107" s="1"/>
  <c r="B14" i="107" s="1"/>
  <c r="B15" i="107" s="1"/>
  <c r="B16" i="107" s="1"/>
  <c r="B18" i="107" s="1"/>
  <c r="B19" i="107" s="1"/>
  <c r="B20" i="107" s="1"/>
  <c r="B21" i="107" s="1"/>
  <c r="B23" i="107" s="1"/>
  <c r="B28" i="107" s="1"/>
  <c r="B29" i="107" s="1"/>
  <c r="B30" i="107" s="1"/>
  <c r="B31" i="107" s="1"/>
  <c r="B32" i="107" s="1"/>
  <c r="B34" i="107" s="1"/>
  <c r="B35" i="107" s="1"/>
  <c r="B36" i="107" s="1"/>
  <c r="B38" i="107" s="1"/>
  <c r="B39" i="107" s="1"/>
  <c r="B40" i="107" s="1"/>
  <c r="B41" i="107" s="1"/>
  <c r="B42" i="107" s="1"/>
  <c r="B43" i="107" s="1"/>
  <c r="B44" i="107" s="1"/>
  <c r="B45" i="107" s="1"/>
  <c r="B46" i="107" s="1"/>
  <c r="B47" i="107" s="1"/>
  <c r="BF31" i="111"/>
  <c r="BE31" i="111"/>
  <c r="BD31" i="111"/>
  <c r="BC31" i="111"/>
  <c r="BB31" i="111"/>
  <c r="BA31" i="111"/>
  <c r="AZ31" i="111"/>
  <c r="AY31" i="111"/>
  <c r="AX31" i="111"/>
  <c r="AW31" i="111"/>
  <c r="AV31" i="111"/>
  <c r="AU31" i="111"/>
  <c r="AT31" i="111"/>
  <c r="AS31" i="111"/>
  <c r="AR31" i="111"/>
  <c r="AQ31" i="111"/>
  <c r="AP31" i="111"/>
  <c r="AO31" i="111"/>
  <c r="AN31" i="111"/>
  <c r="AM31" i="111"/>
  <c r="AL31" i="111"/>
  <c r="AK31" i="111"/>
  <c r="AJ31" i="111"/>
  <c r="AI31" i="111"/>
  <c r="AH31" i="111"/>
  <c r="AG31" i="111"/>
  <c r="AF31" i="111"/>
  <c r="AE31" i="111"/>
  <c r="AD31" i="111"/>
  <c r="AC31" i="111"/>
  <c r="AB31" i="111"/>
  <c r="AA31" i="111"/>
  <c r="Z31" i="111"/>
  <c r="Y31" i="111"/>
  <c r="X31" i="111"/>
  <c r="W31" i="111"/>
  <c r="V31" i="111"/>
  <c r="U31" i="111"/>
  <c r="T31" i="111"/>
  <c r="S31" i="111"/>
  <c r="R31" i="111"/>
  <c r="Q31" i="111"/>
  <c r="P31" i="111"/>
  <c r="O31" i="111"/>
  <c r="N31" i="111"/>
  <c r="M31" i="111"/>
  <c r="L31" i="111"/>
  <c r="K31" i="111"/>
  <c r="J31" i="111"/>
  <c r="I31" i="111"/>
  <c r="H31" i="111"/>
  <c r="G31" i="111"/>
  <c r="F31" i="111"/>
  <c r="E31" i="111"/>
  <c r="BF21" i="111"/>
  <c r="BF32" i="111" s="1"/>
  <c r="BE21" i="111"/>
  <c r="BD21" i="111"/>
  <c r="BD32" i="111" s="1"/>
  <c r="BC21" i="111"/>
  <c r="BB21" i="111"/>
  <c r="BB32" i="111" s="1"/>
  <c r="BA21" i="111"/>
  <c r="AZ21" i="111"/>
  <c r="AZ32" i="111" s="1"/>
  <c r="AY21" i="111"/>
  <c r="AX21" i="111"/>
  <c r="AX32" i="111" s="1"/>
  <c r="AW21" i="111"/>
  <c r="AV21" i="111"/>
  <c r="AV32" i="111" s="1"/>
  <c r="AU21" i="111"/>
  <c r="AT21" i="111"/>
  <c r="AT32" i="111" s="1"/>
  <c r="AS21" i="111"/>
  <c r="AR21" i="111"/>
  <c r="AR32" i="111" s="1"/>
  <c r="AQ21" i="111"/>
  <c r="AP21" i="111"/>
  <c r="AP32" i="111" s="1"/>
  <c r="AO21" i="111"/>
  <c r="AN21" i="111"/>
  <c r="AN32" i="111" s="1"/>
  <c r="AM21" i="111"/>
  <c r="AL21" i="111"/>
  <c r="AL32" i="111" s="1"/>
  <c r="AK21" i="111"/>
  <c r="AJ21" i="111"/>
  <c r="AJ32" i="111" s="1"/>
  <c r="AI21" i="111"/>
  <c r="AH21" i="111"/>
  <c r="AH32" i="111" s="1"/>
  <c r="AG21" i="111"/>
  <c r="AF21" i="111"/>
  <c r="AF32" i="111" s="1"/>
  <c r="AE21" i="111"/>
  <c r="AD21" i="111"/>
  <c r="AD32" i="111" s="1"/>
  <c r="AC21" i="111"/>
  <c r="AB21" i="111"/>
  <c r="AB32" i="111" s="1"/>
  <c r="AA21" i="111"/>
  <c r="Z21" i="111"/>
  <c r="Z32" i="111" s="1"/>
  <c r="Y21" i="111"/>
  <c r="X21" i="111"/>
  <c r="X32" i="111" s="1"/>
  <c r="W21" i="111"/>
  <c r="V21" i="111"/>
  <c r="V32" i="111" s="1"/>
  <c r="U21" i="111"/>
  <c r="T21" i="111"/>
  <c r="T32" i="111" s="1"/>
  <c r="S21" i="111"/>
  <c r="R21" i="111"/>
  <c r="R32" i="111" s="1"/>
  <c r="Q21" i="111"/>
  <c r="P21" i="111"/>
  <c r="P32" i="111" s="1"/>
  <c r="O21" i="111"/>
  <c r="N21" i="111"/>
  <c r="N32" i="111" s="1"/>
  <c r="M21" i="111"/>
  <c r="L21" i="111"/>
  <c r="L32" i="111" s="1"/>
  <c r="K21" i="111"/>
  <c r="J21" i="111"/>
  <c r="J32" i="111" s="1"/>
  <c r="I21" i="111"/>
  <c r="H21" i="111"/>
  <c r="H32" i="111" s="1"/>
  <c r="G21" i="111"/>
  <c r="F21" i="111"/>
  <c r="F32" i="111" s="1"/>
  <c r="E21" i="111"/>
  <c r="BF14" i="111"/>
  <c r="BF16" i="111" s="1"/>
  <c r="BE14" i="111"/>
  <c r="BE16" i="111" s="1"/>
  <c r="BD14" i="111"/>
  <c r="BD16" i="111" s="1"/>
  <c r="BC14" i="111"/>
  <c r="BC16" i="111" s="1"/>
  <c r="BB14" i="111"/>
  <c r="BB16" i="111" s="1"/>
  <c r="BA14" i="111"/>
  <c r="BA16" i="111" s="1"/>
  <c r="AZ14" i="111"/>
  <c r="AZ16" i="111" s="1"/>
  <c r="AY14" i="111"/>
  <c r="AY16" i="111" s="1"/>
  <c r="AX14" i="111"/>
  <c r="AX16" i="111" s="1"/>
  <c r="AW14" i="111"/>
  <c r="AW16" i="111" s="1"/>
  <c r="AV14" i="111"/>
  <c r="AV16" i="111" s="1"/>
  <c r="AU14" i="111"/>
  <c r="AU16" i="111" s="1"/>
  <c r="AT14" i="111"/>
  <c r="AT16" i="111" s="1"/>
  <c r="AS14" i="111"/>
  <c r="AS16" i="111" s="1"/>
  <c r="AR14" i="111"/>
  <c r="AR16" i="111" s="1"/>
  <c r="AQ14" i="111"/>
  <c r="AQ16" i="111" s="1"/>
  <c r="AP14" i="111"/>
  <c r="AP16" i="111" s="1"/>
  <c r="AO14" i="111"/>
  <c r="AO16" i="111" s="1"/>
  <c r="AN14" i="111"/>
  <c r="AN16" i="111" s="1"/>
  <c r="AM14" i="111"/>
  <c r="AM16" i="111" s="1"/>
  <c r="AL14" i="111"/>
  <c r="AL16" i="111" s="1"/>
  <c r="AK14" i="111"/>
  <c r="AK16" i="111" s="1"/>
  <c r="AJ14" i="111"/>
  <c r="AJ16" i="111" s="1"/>
  <c r="AI14" i="111"/>
  <c r="AI16" i="111" s="1"/>
  <c r="AH14" i="111"/>
  <c r="AH16" i="111" s="1"/>
  <c r="AG14" i="111"/>
  <c r="AG16" i="111" s="1"/>
  <c r="AF14" i="111"/>
  <c r="AF16" i="111" s="1"/>
  <c r="AE14" i="111"/>
  <c r="AE16" i="111" s="1"/>
  <c r="AD14" i="111"/>
  <c r="AD16" i="111" s="1"/>
  <c r="AC14" i="111"/>
  <c r="AC16" i="111" s="1"/>
  <c r="AB14" i="111"/>
  <c r="AB16" i="111" s="1"/>
  <c r="AA14" i="111"/>
  <c r="AA16" i="111" s="1"/>
  <c r="Z14" i="111"/>
  <c r="Z16" i="111" s="1"/>
  <c r="Y14" i="111"/>
  <c r="Y16" i="111" s="1"/>
  <c r="X14" i="111"/>
  <c r="X16" i="111" s="1"/>
  <c r="W14" i="111"/>
  <c r="W16" i="111" s="1"/>
  <c r="V14" i="111"/>
  <c r="V16" i="111" s="1"/>
  <c r="U14" i="111"/>
  <c r="U16" i="111" s="1"/>
  <c r="T14" i="111"/>
  <c r="T16" i="111" s="1"/>
  <c r="S14" i="111"/>
  <c r="S16" i="111" s="1"/>
  <c r="R14" i="111"/>
  <c r="R16" i="111" s="1"/>
  <c r="Q14" i="111"/>
  <c r="Q16" i="111" s="1"/>
  <c r="P14" i="111"/>
  <c r="P16" i="111" s="1"/>
  <c r="O14" i="111"/>
  <c r="O16" i="111" s="1"/>
  <c r="N14" i="111"/>
  <c r="N16" i="111" s="1"/>
  <c r="M14" i="111"/>
  <c r="M16" i="111" s="1"/>
  <c r="L14" i="111"/>
  <c r="L16" i="111" s="1"/>
  <c r="K14" i="111"/>
  <c r="K16" i="111" s="1"/>
  <c r="J14" i="111"/>
  <c r="J16" i="111" s="1"/>
  <c r="I14" i="111"/>
  <c r="I16" i="111" s="1"/>
  <c r="H14" i="111"/>
  <c r="H16" i="111" s="1"/>
  <c r="G14" i="111"/>
  <c r="G16" i="111" s="1"/>
  <c r="F14" i="111"/>
  <c r="F16" i="111" s="1"/>
  <c r="E14" i="111"/>
  <c r="E16" i="111" s="1"/>
  <c r="G32" i="111" l="1"/>
  <c r="K32" i="111"/>
  <c r="O32" i="111"/>
  <c r="S32" i="111"/>
  <c r="W32" i="111"/>
  <c r="AA32" i="111"/>
  <c r="AE32" i="111"/>
  <c r="AI32" i="111"/>
  <c r="AM32" i="111"/>
  <c r="AQ32" i="111"/>
  <c r="AU32" i="111"/>
  <c r="AY32" i="111"/>
  <c r="BC32" i="111"/>
  <c r="G32" i="107"/>
  <c r="K32" i="107"/>
  <c r="O32" i="107"/>
  <c r="S32" i="107"/>
  <c r="H32" i="107"/>
  <c r="L32" i="107"/>
  <c r="P32" i="107"/>
  <c r="T32" i="107"/>
  <c r="T34" i="107" s="1"/>
  <c r="I12" i="71"/>
  <c r="E32" i="111"/>
  <c r="I32" i="111"/>
  <c r="M32" i="111"/>
  <c r="Q32" i="111"/>
  <c r="Q34" i="111" s="1"/>
  <c r="U32" i="111"/>
  <c r="Y32" i="111"/>
  <c r="AC32" i="111"/>
  <c r="AG32" i="111"/>
  <c r="AG34" i="111" s="1"/>
  <c r="AK32" i="111"/>
  <c r="AO32" i="111"/>
  <c r="AS32" i="111"/>
  <c r="AW32" i="111"/>
  <c r="AW34" i="111" s="1"/>
  <c r="BA32" i="111"/>
  <c r="BE32" i="111"/>
  <c r="F32" i="107"/>
  <c r="J32" i="107"/>
  <c r="N32" i="107"/>
  <c r="R32" i="107"/>
  <c r="V32" i="107"/>
  <c r="O10" i="71"/>
  <c r="O20" i="71"/>
  <c r="O29" i="71"/>
  <c r="C12" i="71"/>
  <c r="O8" i="71"/>
  <c r="O12" i="71" s="1"/>
  <c r="C22" i="71"/>
  <c r="O18" i="71"/>
  <c r="C31" i="71"/>
  <c r="O27" i="71"/>
  <c r="Q34" i="107"/>
  <c r="R34" i="107"/>
  <c r="S34" i="107"/>
  <c r="U34" i="107"/>
  <c r="V34" i="107"/>
  <c r="E34" i="111"/>
  <c r="F34" i="111"/>
  <c r="G34" i="111"/>
  <c r="H34" i="111"/>
  <c r="I34" i="111"/>
  <c r="J34" i="111"/>
  <c r="K34" i="111"/>
  <c r="L34" i="111"/>
  <c r="M34" i="111"/>
  <c r="N34" i="111"/>
  <c r="O34" i="111"/>
  <c r="P34" i="111"/>
  <c r="R34" i="111"/>
  <c r="S34" i="111"/>
  <c r="T34" i="111"/>
  <c r="U34" i="111"/>
  <c r="V34" i="111"/>
  <c r="W34" i="111"/>
  <c r="X34" i="111"/>
  <c r="Y34" i="111"/>
  <c r="Z34" i="111"/>
  <c r="AA34" i="111"/>
  <c r="AB34" i="111"/>
  <c r="AC34" i="111"/>
  <c r="AD34" i="111"/>
  <c r="AE34" i="111"/>
  <c r="AF34" i="111"/>
  <c r="AH34" i="111"/>
  <c r="AI34" i="111"/>
  <c r="AJ34" i="111"/>
  <c r="AK34" i="111"/>
  <c r="AL34" i="111"/>
  <c r="AM34" i="111"/>
  <c r="AN34" i="111"/>
  <c r="AO34" i="111"/>
  <c r="AP34" i="111"/>
  <c r="AQ34" i="111"/>
  <c r="AR34" i="111"/>
  <c r="AS34" i="111"/>
  <c r="AT34" i="111"/>
  <c r="AU34" i="111"/>
  <c r="AV34" i="111"/>
  <c r="AX34" i="111"/>
  <c r="AY34" i="111"/>
  <c r="AZ34" i="111"/>
  <c r="BA34" i="111"/>
  <c r="BB34" i="111"/>
  <c r="BC34" i="111"/>
  <c r="BD34" i="111"/>
  <c r="BE34" i="111"/>
  <c r="BF34" i="111"/>
  <c r="O22" i="71" l="1"/>
  <c r="O31" i="71"/>
  <c r="I13" i="110"/>
  <c r="I15" i="110"/>
  <c r="K13" i="110"/>
  <c r="K15" i="110"/>
  <c r="J28" i="106" l="1"/>
  <c r="H28" i="106"/>
  <c r="F28" i="106"/>
  <c r="E28" i="106"/>
  <c r="B10" i="106"/>
  <c r="B11" i="106" s="1"/>
  <c r="B12" i="106" s="1"/>
  <c r="B13" i="106" s="1"/>
  <c r="B14" i="106" s="1"/>
  <c r="B15" i="106" s="1"/>
  <c r="B16" i="106" s="1"/>
  <c r="B17" i="106" s="1"/>
  <c r="B18" i="106" s="1"/>
  <c r="B19" i="106" s="1"/>
  <c r="B20" i="106" s="1"/>
  <c r="B21" i="106" s="1"/>
  <c r="B22" i="106" s="1"/>
  <c r="B23" i="106" s="1"/>
  <c r="B24" i="106" s="1"/>
  <c r="B25" i="106" s="1"/>
  <c r="B26" i="106" s="1"/>
  <c r="B27" i="106" s="1"/>
  <c r="I18" i="103" l="1"/>
  <c r="G18" i="103"/>
  <c r="H15" i="110"/>
  <c r="H14" i="110"/>
  <c r="J15" i="110"/>
  <c r="J14" i="110"/>
  <c r="J13" i="110"/>
  <c r="I19" i="58" l="1"/>
  <c r="G14" i="110"/>
  <c r="F11" i="110"/>
  <c r="F10" i="110"/>
  <c r="K19" i="58" l="1"/>
  <c r="G10" i="110"/>
  <c r="F9" i="110" l="1"/>
  <c r="G19" i="58"/>
  <c r="F19" i="58" s="1"/>
  <c r="J11" i="58"/>
  <c r="H11" i="58"/>
  <c r="G11" i="58" s="1"/>
  <c r="E13" i="104"/>
  <c r="F18" i="104"/>
  <c r="F12" i="93"/>
  <c r="F11" i="93"/>
  <c r="F19" i="110" l="1"/>
  <c r="F17" i="110"/>
  <c r="E10" i="104" s="1"/>
  <c r="F18" i="110"/>
  <c r="E11" i="104" s="1"/>
  <c r="L11" i="58"/>
  <c r="E16" i="104" l="1"/>
  <c r="D13" i="93"/>
  <c r="F10" i="58" l="1"/>
  <c r="I19" i="110" l="1"/>
  <c r="I18" i="110"/>
  <c r="I17" i="110"/>
  <c r="E9" i="104"/>
  <c r="K12" i="66"/>
  <c r="I12" i="66"/>
  <c r="H9" i="104" l="1"/>
  <c r="H10" i="104"/>
  <c r="F10" i="105"/>
  <c r="F11" i="105" s="1"/>
  <c r="G10" i="105"/>
  <c r="G11" i="105" s="1"/>
  <c r="H10" i="105"/>
  <c r="H11" i="105" s="1"/>
  <c r="I10" i="105"/>
  <c r="I11" i="105" s="1"/>
  <c r="J10" i="105"/>
  <c r="J11" i="105" s="1"/>
  <c r="E10" i="105"/>
  <c r="E11" i="105" s="1"/>
  <c r="E9" i="105" l="1"/>
  <c r="D20" i="69"/>
  <c r="F13" i="103"/>
  <c r="E13" i="103"/>
  <c r="F12" i="103"/>
  <c r="G12" i="103"/>
  <c r="H12" i="103"/>
  <c r="I12" i="103"/>
  <c r="J12" i="103"/>
  <c r="E12" i="103"/>
  <c r="E9" i="103"/>
  <c r="E8" i="103"/>
  <c r="H19" i="58" l="1"/>
  <c r="I13" i="93"/>
  <c r="K12" i="58"/>
  <c r="K14" i="58" l="1"/>
  <c r="K10" i="58"/>
  <c r="K13" i="58"/>
  <c r="G15" i="58" l="1"/>
  <c r="H15" i="58" s="1"/>
  <c r="K15" i="58"/>
  <c r="K16" i="58" s="1"/>
  <c r="D25" i="106"/>
  <c r="I17" i="105" l="1"/>
  <c r="M11" i="102" l="1"/>
  <c r="J27" i="102" s="1"/>
  <c r="M12" i="102"/>
  <c r="J28" i="102" s="1"/>
  <c r="M15" i="102"/>
  <c r="M16" i="102"/>
  <c r="M17" i="102"/>
  <c r="M18" i="102"/>
  <c r="M19" i="102"/>
  <c r="M20" i="102"/>
  <c r="M10" i="102"/>
  <c r="M14" i="102"/>
  <c r="J26" i="102" l="1"/>
  <c r="M28" i="102"/>
  <c r="J44" i="102" s="1"/>
  <c r="M44" i="102" s="1"/>
  <c r="J32" i="102"/>
  <c r="J34" i="102"/>
  <c r="M34" i="102" s="1"/>
  <c r="J36" i="102"/>
  <c r="M36" i="102" s="1"/>
  <c r="J30" i="102"/>
  <c r="J35" i="102"/>
  <c r="M35" i="102" s="1"/>
  <c r="J33" i="102"/>
  <c r="M27" i="102"/>
  <c r="J43" i="102" s="1"/>
  <c r="J31" i="102"/>
  <c r="N13" i="102"/>
  <c r="I13" i="102"/>
  <c r="N20" i="102"/>
  <c r="I20" i="102"/>
  <c r="N19" i="102"/>
  <c r="I19" i="102"/>
  <c r="N18" i="102"/>
  <c r="I18" i="102"/>
  <c r="N17" i="102"/>
  <c r="I17" i="102"/>
  <c r="N16" i="102"/>
  <c r="I16" i="102"/>
  <c r="N15" i="102"/>
  <c r="I15" i="102"/>
  <c r="N14" i="102"/>
  <c r="N12" i="102"/>
  <c r="I12" i="102"/>
  <c r="N11" i="102"/>
  <c r="I11" i="102"/>
  <c r="N10" i="102"/>
  <c r="I10" i="102"/>
  <c r="F31" i="102" l="1"/>
  <c r="F32" i="102"/>
  <c r="F33" i="102"/>
  <c r="F34" i="102"/>
  <c r="F35" i="102"/>
  <c r="N35" i="102" s="1"/>
  <c r="F36" i="102"/>
  <c r="N32" i="102"/>
  <c r="M26" i="102"/>
  <c r="J42" i="102" s="1"/>
  <c r="N31" i="102"/>
  <c r="N21" i="102"/>
  <c r="N34" i="102"/>
  <c r="N36" i="102"/>
  <c r="F29" i="102"/>
  <c r="M43" i="102"/>
  <c r="M31" i="102"/>
  <c r="J47" i="102" s="1"/>
  <c r="M47" i="102" s="1"/>
  <c r="M33" i="102"/>
  <c r="J49" i="102" s="1"/>
  <c r="M49" i="102" s="1"/>
  <c r="M30" i="102"/>
  <c r="J46" i="102" s="1"/>
  <c r="M46" i="102" s="1"/>
  <c r="M32" i="102"/>
  <c r="J48" i="102" s="1"/>
  <c r="M48" i="102" s="1"/>
  <c r="F26" i="102"/>
  <c r="O11" i="102"/>
  <c r="F27" i="102"/>
  <c r="O12" i="102"/>
  <c r="F28" i="102"/>
  <c r="O15" i="102"/>
  <c r="O16" i="102"/>
  <c r="O17" i="102"/>
  <c r="O18" i="102"/>
  <c r="O19" i="102"/>
  <c r="O20" i="102"/>
  <c r="J50" i="102"/>
  <c r="M50" i="102" s="1"/>
  <c r="O10" i="102"/>
  <c r="M13" i="102"/>
  <c r="M21" i="102" s="1"/>
  <c r="N28" i="102" l="1"/>
  <c r="N27" i="102"/>
  <c r="N33" i="102"/>
  <c r="M42" i="102"/>
  <c r="J29" i="102"/>
  <c r="J37" i="102" s="1"/>
  <c r="I35" i="102"/>
  <c r="I33" i="102"/>
  <c r="I32" i="102"/>
  <c r="I31" i="102"/>
  <c r="I29" i="102"/>
  <c r="I28" i="102"/>
  <c r="I27" i="102"/>
  <c r="N26" i="102"/>
  <c r="I26" i="102"/>
  <c r="O13" i="102"/>
  <c r="O27" i="102" l="1"/>
  <c r="O28" i="102"/>
  <c r="O31" i="102"/>
  <c r="O32" i="102"/>
  <c r="O33" i="102"/>
  <c r="H9" i="103"/>
  <c r="F42" i="102"/>
  <c r="F51" i="102"/>
  <c r="O35" i="102"/>
  <c r="M29" i="102"/>
  <c r="N29" i="102"/>
  <c r="F43" i="102"/>
  <c r="F44" i="102"/>
  <c r="F45" i="102"/>
  <c r="F47" i="102"/>
  <c r="F48" i="102"/>
  <c r="F49" i="102"/>
  <c r="O26" i="102"/>
  <c r="I34" i="102"/>
  <c r="N49" i="102" l="1"/>
  <c r="N48" i="102"/>
  <c r="N47" i="102"/>
  <c r="N44" i="102"/>
  <c r="I51" i="102"/>
  <c r="I42" i="102"/>
  <c r="M37" i="102"/>
  <c r="N42" i="102"/>
  <c r="N43" i="102"/>
  <c r="F50" i="102"/>
  <c r="O34" i="102"/>
  <c r="J45" i="102"/>
  <c r="O29" i="102"/>
  <c r="J51" i="102"/>
  <c r="I49" i="102"/>
  <c r="I48" i="102"/>
  <c r="I47" i="102"/>
  <c r="I45" i="102"/>
  <c r="I44" i="102"/>
  <c r="I43" i="102"/>
  <c r="O44" i="102" l="1"/>
  <c r="O47" i="102"/>
  <c r="O48" i="102"/>
  <c r="O49" i="102"/>
  <c r="N50" i="102"/>
  <c r="O42" i="102"/>
  <c r="I50" i="102"/>
  <c r="O43" i="102"/>
  <c r="M51" i="102"/>
  <c r="O51" i="102" s="1"/>
  <c r="N51" i="102"/>
  <c r="M45" i="102"/>
  <c r="N45" i="102"/>
  <c r="O50" i="102" l="1"/>
  <c r="O45" i="102"/>
  <c r="E15" i="110"/>
  <c r="E13" i="110"/>
  <c r="E18" i="110" s="1"/>
  <c r="E12" i="110"/>
  <c r="K11" i="110"/>
  <c r="K12" i="110"/>
  <c r="H11" i="110"/>
  <c r="H12" i="110"/>
  <c r="J12" i="110" s="1"/>
  <c r="H13" i="110"/>
  <c r="I16" i="110"/>
  <c r="H16" i="110" s="1"/>
  <c r="J16" i="110" s="1"/>
  <c r="E19" i="110" l="1"/>
  <c r="E17" i="110"/>
  <c r="H18" i="110"/>
  <c r="H11" i="104" s="1"/>
  <c r="H16" i="104" s="1"/>
  <c r="H19" i="110"/>
  <c r="H17" i="110"/>
  <c r="K19" i="110"/>
  <c r="K18" i="110"/>
  <c r="J11" i="104" s="1"/>
  <c r="K17" i="110"/>
  <c r="K16" i="110"/>
  <c r="J11" i="110"/>
  <c r="E16" i="110"/>
  <c r="F25" i="67"/>
  <c r="F33" i="67" s="1"/>
  <c r="F35" i="67" s="1"/>
  <c r="E25" i="67"/>
  <c r="E33" i="67" s="1"/>
  <c r="E35" i="67" s="1"/>
  <c r="D25" i="67"/>
  <c r="D33" i="67" s="1"/>
  <c r="D35" i="67" s="1"/>
  <c r="K10" i="66" l="1"/>
  <c r="I10" i="66"/>
  <c r="J18" i="110"/>
  <c r="J9" i="104"/>
  <c r="J10" i="104"/>
  <c r="J19" i="110"/>
  <c r="J17" i="110"/>
  <c r="F9" i="104"/>
  <c r="F16" i="110"/>
  <c r="G16" i="110" s="1"/>
  <c r="G12" i="110"/>
  <c r="G11" i="110"/>
  <c r="G9" i="110"/>
  <c r="G13" i="110"/>
  <c r="G15" i="110"/>
  <c r="G10" i="103"/>
  <c r="E15" i="109"/>
  <c r="G18" i="110" l="1"/>
  <c r="G19" i="110"/>
  <c r="G17" i="110"/>
  <c r="J16" i="104"/>
  <c r="F10" i="104"/>
  <c r="K18" i="58"/>
  <c r="K20" i="58" s="1"/>
  <c r="K21" i="58" s="1"/>
  <c r="D11" i="105"/>
  <c r="F11" i="104" l="1"/>
  <c r="F16" i="104" s="1"/>
  <c r="I17" i="104"/>
  <c r="D15" i="109"/>
  <c r="D50" i="103"/>
  <c r="D13" i="105"/>
  <c r="D10" i="103"/>
  <c r="D18" i="103" l="1"/>
  <c r="F10" i="66" l="1"/>
  <c r="G10" i="66" s="1"/>
  <c r="F36" i="68"/>
  <c r="F38" i="68" s="1"/>
  <c r="E36" i="68"/>
  <c r="E38" i="68" s="1"/>
  <c r="D36" i="68"/>
  <c r="D38" i="68" s="1"/>
  <c r="F12" i="66"/>
  <c r="G12" i="66" s="1"/>
  <c r="G13" i="93"/>
  <c r="F15" i="109"/>
  <c r="F57" i="103"/>
  <c r="E57" i="103"/>
  <c r="D57" i="103"/>
  <c r="F52" i="103"/>
  <c r="E52" i="103"/>
  <c r="D52" i="103"/>
  <c r="F51" i="103"/>
  <c r="E51" i="103"/>
  <c r="D51" i="103"/>
  <c r="F42" i="103"/>
  <c r="F47" i="103" s="1"/>
  <c r="E47" i="103"/>
  <c r="D42" i="103"/>
  <c r="D32" i="103"/>
  <c r="D17" i="105"/>
  <c r="J17" i="105"/>
  <c r="H17" i="105"/>
  <c r="G17" i="105"/>
  <c r="F17" i="105"/>
  <c r="E17" i="105"/>
  <c r="G13" i="105"/>
  <c r="D37" i="103" l="1"/>
  <c r="E29" i="103"/>
  <c r="I11" i="66"/>
  <c r="I13" i="66" s="1"/>
  <c r="H12" i="104" s="1"/>
  <c r="K11" i="66"/>
  <c r="K13" i="66" s="1"/>
  <c r="J12" i="104" s="1"/>
  <c r="F11" i="66"/>
  <c r="G11" i="66" s="1"/>
  <c r="G13" i="66" s="1"/>
  <c r="F12" i="104" s="1"/>
  <c r="F9" i="103"/>
  <c r="F9" i="105"/>
  <c r="F19" i="105" s="1"/>
  <c r="D43" i="103"/>
  <c r="D45" i="103" s="1"/>
  <c r="D18" i="109"/>
  <c r="D21" i="109" s="1"/>
  <c r="F18" i="109"/>
  <c r="F21" i="109" s="1"/>
  <c r="D19" i="105"/>
  <c r="D20" i="105" s="1"/>
  <c r="E18" i="109"/>
  <c r="E21" i="109" s="1"/>
  <c r="I10" i="58"/>
  <c r="F56" i="103"/>
  <c r="F37" i="103"/>
  <c r="E37" i="103"/>
  <c r="E56" i="103"/>
  <c r="D53" i="103"/>
  <c r="F12" i="58"/>
  <c r="I12" i="58"/>
  <c r="G19" i="105"/>
  <c r="E50" i="103" l="1"/>
  <c r="E53" i="103" s="1"/>
  <c r="E32" i="103"/>
  <c r="F29" i="103" s="1"/>
  <c r="F13" i="66"/>
  <c r="E12" i="104" s="1"/>
  <c r="E19" i="105"/>
  <c r="I36" i="102"/>
  <c r="F8" i="103"/>
  <c r="F10" i="103" s="1"/>
  <c r="E10" i="103"/>
  <c r="F13" i="93"/>
  <c r="H8" i="103"/>
  <c r="J10" i="58"/>
  <c r="H10" i="58"/>
  <c r="D47" i="103"/>
  <c r="D56" i="103"/>
  <c r="E13" i="93"/>
  <c r="H10" i="93" s="1"/>
  <c r="H13" i="93" s="1"/>
  <c r="J10" i="93" s="1"/>
  <c r="J13" i="93" s="1"/>
  <c r="E13" i="105"/>
  <c r="H9" i="105" s="1"/>
  <c r="F13" i="105"/>
  <c r="F20" i="105" s="1"/>
  <c r="F21" i="105" s="1"/>
  <c r="H14" i="58" s="1"/>
  <c r="D21" i="69"/>
  <c r="L10" i="58"/>
  <c r="E58" i="103"/>
  <c r="F58" i="103"/>
  <c r="G20" i="105"/>
  <c r="I14" i="58" s="1"/>
  <c r="F14" i="58"/>
  <c r="F32" i="103" l="1"/>
  <c r="F50" i="103"/>
  <c r="F53" i="103" s="1"/>
  <c r="F17" i="103"/>
  <c r="D55" i="103"/>
  <c r="G10" i="58"/>
  <c r="F52" i="102"/>
  <c r="O36" i="102"/>
  <c r="I14" i="102"/>
  <c r="E20" i="105"/>
  <c r="E21" i="105" s="1"/>
  <c r="G14" i="58" s="1"/>
  <c r="J8" i="103"/>
  <c r="H10" i="103"/>
  <c r="H19" i="105"/>
  <c r="H13" i="105"/>
  <c r="D58" i="103"/>
  <c r="I52" i="102" l="1"/>
  <c r="I21" i="102"/>
  <c r="F30" i="102"/>
  <c r="O14" i="102"/>
  <c r="J52" i="102"/>
  <c r="J53" i="102" s="1"/>
  <c r="J9" i="105"/>
  <c r="H20" i="105"/>
  <c r="E21" i="102" l="1"/>
  <c r="F37" i="102"/>
  <c r="O21" i="102"/>
  <c r="M52" i="102"/>
  <c r="M53" i="102" s="1"/>
  <c r="N52" i="102"/>
  <c r="N30" i="102"/>
  <c r="F13" i="104"/>
  <c r="H13" i="103"/>
  <c r="H15" i="103" s="1"/>
  <c r="I30" i="102"/>
  <c r="H21" i="105"/>
  <c r="J14" i="58" s="1"/>
  <c r="E14" i="103"/>
  <c r="E16" i="103" s="1"/>
  <c r="E15" i="103"/>
  <c r="F15" i="103"/>
  <c r="F14" i="103"/>
  <c r="F16" i="103" s="1"/>
  <c r="J19" i="105"/>
  <c r="J13" i="105"/>
  <c r="L15" i="58"/>
  <c r="J15" i="58"/>
  <c r="I15" i="58"/>
  <c r="F15" i="58"/>
  <c r="L18" i="58"/>
  <c r="L20" i="58" s="1"/>
  <c r="J18" i="58"/>
  <c r="J20" i="58" s="1"/>
  <c r="I18" i="58"/>
  <c r="I20" i="58" s="1"/>
  <c r="H18" i="58"/>
  <c r="H20" i="58" s="1"/>
  <c r="F18" i="58"/>
  <c r="J13" i="104" l="1"/>
  <c r="E20" i="69"/>
  <c r="E21" i="69" s="1"/>
  <c r="N37" i="102"/>
  <c r="I37" i="102"/>
  <c r="H13" i="104"/>
  <c r="F18" i="103"/>
  <c r="F20" i="103" s="1"/>
  <c r="H12" i="58" s="1"/>
  <c r="E18" i="103"/>
  <c r="E20" i="103" s="1"/>
  <c r="G12" i="58" s="1"/>
  <c r="O30" i="102"/>
  <c r="O52" i="102"/>
  <c r="H14" i="103"/>
  <c r="H16" i="103" s="1"/>
  <c r="H18" i="103" s="1"/>
  <c r="H20" i="103" s="1"/>
  <c r="J12" i="58" s="1"/>
  <c r="J9" i="103"/>
  <c r="J10" i="103" s="1"/>
  <c r="F46" i="102"/>
  <c r="J20" i="105"/>
  <c r="J21" i="105" s="1"/>
  <c r="L14" i="58" s="1"/>
  <c r="G18" i="58"/>
  <c r="G20" i="58" s="1"/>
  <c r="F20" i="58"/>
  <c r="F53" i="102" l="1"/>
  <c r="O37" i="102"/>
  <c r="N46" i="102"/>
  <c r="N53" i="102" s="1"/>
  <c r="I46" i="102"/>
  <c r="F20" i="69"/>
  <c r="F21" i="69" s="1"/>
  <c r="E37" i="102"/>
  <c r="I53" i="102" l="1"/>
  <c r="O46" i="102"/>
  <c r="O53" i="102" s="1"/>
  <c r="E53" i="102"/>
  <c r="J13" i="103"/>
  <c r="J14" i="103" s="1"/>
  <c r="J16" i="103" s="1"/>
  <c r="J18" i="103" s="1"/>
  <c r="J20" i="103" s="1"/>
  <c r="L12" i="58" s="1"/>
  <c r="B19" i="58"/>
  <c r="B20" i="58" s="1"/>
  <c r="J15" i="103" l="1"/>
  <c r="B10" i="105"/>
  <c r="B11" i="105" s="1"/>
  <c r="B12" i="105" s="1"/>
  <c r="B13" i="105" s="1"/>
  <c r="B15" i="105" s="1"/>
  <c r="B16" i="105" s="1"/>
  <c r="B17" i="105" s="1"/>
  <c r="B19" i="105" s="1"/>
  <c r="B10" i="104"/>
  <c r="B11" i="104" s="1"/>
  <c r="B12" i="104" s="1"/>
  <c r="B13" i="104" s="1"/>
  <c r="B14" i="104" s="1"/>
  <c r="B16" i="104" s="1"/>
  <c r="B17" i="104" s="1"/>
  <c r="B18" i="104" s="1"/>
  <c r="B19" i="104" s="1"/>
  <c r="B9" i="103"/>
  <c r="B10" i="103" s="1"/>
  <c r="B11" i="103" s="1"/>
  <c r="B12" i="103" s="1"/>
  <c r="B13" i="103" s="1"/>
  <c r="B14" i="103" s="1"/>
  <c r="B15" i="103" s="1"/>
  <c r="B16" i="103" s="1"/>
  <c r="B17" i="103" s="1"/>
  <c r="B18" i="103" s="1"/>
  <c r="B19" i="103" s="1"/>
  <c r="B20" i="103" s="1"/>
  <c r="B20" i="105" l="1"/>
  <c r="B21" i="105" s="1"/>
  <c r="B11" i="58"/>
  <c r="B12" i="58" s="1"/>
  <c r="B13" i="58" s="1"/>
  <c r="B14" i="58" s="1"/>
  <c r="B15" i="58" s="1"/>
  <c r="B16" i="58" s="1"/>
  <c r="B8" i="91" l="1"/>
  <c r="B9" i="91" s="1"/>
  <c r="B10" i="91" s="1"/>
  <c r="B11" i="91" s="1"/>
  <c r="B12" i="91" s="1"/>
  <c r="B13" i="91" s="1"/>
  <c r="B14" i="91" s="1"/>
  <c r="B15" i="91" s="1"/>
  <c r="B16" i="91" s="1"/>
  <c r="B17" i="91" s="1"/>
  <c r="B18" i="91" s="1"/>
  <c r="B19" i="91" s="1"/>
  <c r="B20" i="91" s="1"/>
  <c r="B21" i="91" s="1"/>
  <c r="B22" i="91" s="1"/>
  <c r="B23" i="91" s="1"/>
  <c r="B24" i="91" s="1"/>
  <c r="B25" i="91" s="1"/>
  <c r="B30" i="91" s="1"/>
  <c r="B31" i="91" s="1"/>
  <c r="B7" i="57" l="1"/>
  <c r="B8" i="57" s="1"/>
  <c r="B9" i="57" s="1"/>
  <c r="B10" i="57" s="1"/>
  <c r="B11" i="57" l="1"/>
  <c r="B12" i="57" s="1"/>
  <c r="B13" i="57" s="1"/>
  <c r="B11" i="66"/>
  <c r="B12" i="66" s="1"/>
  <c r="B13" i="66" s="1"/>
  <c r="B27" i="67"/>
  <c r="B28" i="67" s="1"/>
  <c r="B29" i="67" s="1"/>
  <c r="B30" i="67" s="1"/>
  <c r="B14" i="57" l="1"/>
  <c r="B15" i="57" s="1"/>
  <c r="B16" i="57" s="1"/>
  <c r="B17" i="57" s="1"/>
  <c r="B18" i="57" s="1"/>
  <c r="B19" i="57" s="1"/>
  <c r="B20" i="57" s="1"/>
  <c r="B21" i="57" l="1"/>
  <c r="B22" i="57" s="1"/>
  <c r="B23" i="57" s="1"/>
  <c r="B24" i="57" s="1"/>
  <c r="B25" i="57" s="1"/>
  <c r="B26" i="57" s="1"/>
  <c r="F13" i="58"/>
  <c r="I13" i="58"/>
  <c r="I16" i="58" l="1"/>
  <c r="I21" i="58" s="1"/>
  <c r="G17" i="104" s="1"/>
  <c r="F16" i="58"/>
  <c r="F21" i="58" s="1"/>
  <c r="D17" i="104" s="1"/>
  <c r="G13" i="58" l="1"/>
  <c r="H13" i="58"/>
  <c r="J13" i="58"/>
  <c r="L13" i="58"/>
  <c r="G16" i="58"/>
  <c r="H16" i="58"/>
  <c r="J16" i="58"/>
  <c r="L16" i="58"/>
  <c r="G21" i="58"/>
  <c r="H21" i="58"/>
  <c r="J21" i="58"/>
  <c r="L21" i="58"/>
  <c r="E14" i="104"/>
  <c r="F14" i="104"/>
  <c r="H14" i="104"/>
  <c r="J14" i="104"/>
  <c r="E17" i="104"/>
  <c r="F17" i="104"/>
  <c r="H17" i="104"/>
  <c r="J17" i="104"/>
  <c r="E19" i="104"/>
  <c r="F19" i="104"/>
  <c r="H19" i="104"/>
  <c r="J19" i="104"/>
</calcChain>
</file>

<file path=xl/sharedStrings.xml><?xml version="1.0" encoding="utf-8"?>
<sst xmlns="http://schemas.openxmlformats.org/spreadsheetml/2006/main" count="1189" uniqueCount="516">
  <si>
    <t>Equity</t>
  </si>
  <si>
    <t>Reference</t>
  </si>
  <si>
    <t>S.No.</t>
  </si>
  <si>
    <t>Actual</t>
  </si>
  <si>
    <t>(Rs. Crore)</t>
  </si>
  <si>
    <t>Estimated</t>
  </si>
  <si>
    <t>Form 1</t>
  </si>
  <si>
    <t>Title</t>
  </si>
  <si>
    <t>Projected</t>
  </si>
  <si>
    <t>…</t>
  </si>
  <si>
    <t>Approved</t>
  </si>
  <si>
    <t>Remarks</t>
  </si>
  <si>
    <t>Audited</t>
  </si>
  <si>
    <t>Opening Balance of Loan</t>
  </si>
  <si>
    <t>Loan Repayment during the year</t>
  </si>
  <si>
    <t>Closing Balance of Loan</t>
  </si>
  <si>
    <t>Applicable Interest Rate (%)</t>
  </si>
  <si>
    <t>Less: Expenses Capitalised</t>
  </si>
  <si>
    <t>Particulars</t>
  </si>
  <si>
    <t>Equity portion of capitalisation during the year</t>
  </si>
  <si>
    <t>Reduction in Equity Capital on account of retirement / replacement of assets</t>
  </si>
  <si>
    <t>Regulatory Equity at the end of the year</t>
  </si>
  <si>
    <t>Form 3</t>
  </si>
  <si>
    <t>Form 4</t>
  </si>
  <si>
    <t>Form 2.1</t>
  </si>
  <si>
    <t>Form 2.2</t>
  </si>
  <si>
    <t>Planned &amp; Forced Outages</t>
  </si>
  <si>
    <t>Form 3.1</t>
  </si>
  <si>
    <t>Form 3.2</t>
  </si>
  <si>
    <t>Form 5</t>
  </si>
  <si>
    <t>Form 6</t>
  </si>
  <si>
    <t>Form 7</t>
  </si>
  <si>
    <t>Form 8</t>
  </si>
  <si>
    <t>Form 9</t>
  </si>
  <si>
    <t>Form 10</t>
  </si>
  <si>
    <t>Form 11</t>
  </si>
  <si>
    <t>Operation &amp; Maintenance Expenses</t>
  </si>
  <si>
    <t>Interest on Working Capital</t>
  </si>
  <si>
    <t>Less: Non-Tariff Income</t>
  </si>
  <si>
    <t>Units</t>
  </si>
  <si>
    <t>MW</t>
  </si>
  <si>
    <t>Target Availability for full recovery of AFC</t>
  </si>
  <si>
    <t>%</t>
  </si>
  <si>
    <t>Target PLF for Incentive</t>
  </si>
  <si>
    <t>Scheduled Generation</t>
  </si>
  <si>
    <t>MU</t>
  </si>
  <si>
    <t>Normative Auxiliary Energy Consumption</t>
  </si>
  <si>
    <t>Net Generation</t>
  </si>
  <si>
    <t>Normative Gross Station Heat Rate</t>
  </si>
  <si>
    <t>kcal/kWh</t>
  </si>
  <si>
    <t>Normative Secondary Fuel Oil Consumption</t>
  </si>
  <si>
    <t>ml/kWh</t>
  </si>
  <si>
    <t>Normative Transit Loss</t>
  </si>
  <si>
    <t>Transit Loss</t>
  </si>
  <si>
    <t xml:space="preserve">Note: </t>
  </si>
  <si>
    <t>Total Working Capital requirement</t>
  </si>
  <si>
    <t>Gross Generation</t>
  </si>
  <si>
    <t>A.</t>
  </si>
  <si>
    <t>Planned Outages</t>
  </si>
  <si>
    <t>No of days of outage</t>
  </si>
  <si>
    <t>Period of Outage</t>
  </si>
  <si>
    <t>Reasons for Outage</t>
  </si>
  <si>
    <t>B.</t>
  </si>
  <si>
    <t>Forced Outages</t>
  </si>
  <si>
    <t xml:space="preserve">Reasons for Outage </t>
  </si>
  <si>
    <t>……</t>
  </si>
  <si>
    <t>…….</t>
  </si>
  <si>
    <t>A</t>
  </si>
  <si>
    <t>A. For Existing Generating Stations</t>
  </si>
  <si>
    <t xml:space="preserve">Employee Expenses </t>
  </si>
  <si>
    <t>Total O&amp;M Expenses</t>
  </si>
  <si>
    <t>B</t>
  </si>
  <si>
    <t>C</t>
  </si>
  <si>
    <t>Basic Salary</t>
  </si>
  <si>
    <t>Dearness Allowance (DA)</t>
  </si>
  <si>
    <t>House Rent Allowance</t>
  </si>
  <si>
    <t>Conveyance Allowance</t>
  </si>
  <si>
    <t>Leave Travel Allowance</t>
  </si>
  <si>
    <t>Earned Leave Encashment</t>
  </si>
  <si>
    <t>Other Allowances</t>
  </si>
  <si>
    <t>Medical Reimbursement</t>
  </si>
  <si>
    <t>Overtime Payment</t>
  </si>
  <si>
    <t>Bonus/Ex-Gratia Payments</t>
  </si>
  <si>
    <t xml:space="preserve">Interim Relief / Wage Revision </t>
  </si>
  <si>
    <t>Staff welfare expenses</t>
  </si>
  <si>
    <t>VRS Expenses/Retrenchment Compensation</t>
  </si>
  <si>
    <t>Commission to Directors</t>
  </si>
  <si>
    <t>Training Expenses</t>
  </si>
  <si>
    <t>Payment under Workmen's Compensation Act</t>
  </si>
  <si>
    <t>Net Employee Costs</t>
  </si>
  <si>
    <t>Terminal Benefits</t>
  </si>
  <si>
    <t>Provident Fund Contribution</t>
  </si>
  <si>
    <t>Provision for PF Fund</t>
  </si>
  <si>
    <t>Pension Payments</t>
  </si>
  <si>
    <t>Gratuity Payment</t>
  </si>
  <si>
    <t>Others</t>
  </si>
  <si>
    <t xml:space="preserve">Gross Employee Expenses </t>
  </si>
  <si>
    <t xml:space="preserve">Net Employee Expenses </t>
  </si>
  <si>
    <t>Rent Rates &amp; Taxes</t>
  </si>
  <si>
    <t>Insurance</t>
  </si>
  <si>
    <t>Telephone &amp; Postage, etc.</t>
  </si>
  <si>
    <t>Legal charges &amp; Audit fee</t>
  </si>
  <si>
    <t>Professional, Consultancy, Technical fee</t>
  </si>
  <si>
    <t>Conveyance &amp; Travel</t>
  </si>
  <si>
    <t>Electricity charges</t>
  </si>
  <si>
    <t>Water charges</t>
  </si>
  <si>
    <t>Security arrangements</t>
  </si>
  <si>
    <t>Fees &amp; subscription</t>
  </si>
  <si>
    <t>Books &amp; periodicals</t>
  </si>
  <si>
    <t>Computer Stationery</t>
  </si>
  <si>
    <t>Printing &amp; Stationery</t>
  </si>
  <si>
    <t xml:space="preserve">Advertisements </t>
  </si>
  <si>
    <t>Purchase Related Advertisement Expenses</t>
  </si>
  <si>
    <t>Contribution/Donations</t>
  </si>
  <si>
    <t>License Fee  and other related fee</t>
  </si>
  <si>
    <t>Vehicle Running Expenses Truck / Delivery Van</t>
  </si>
  <si>
    <t>Vehicle Hiring Expenses Truck / Delivery Van</t>
  </si>
  <si>
    <t>Cost of services procured</t>
  </si>
  <si>
    <t>Outsourcing of metering and billing system</t>
  </si>
  <si>
    <t>Freight On Capital Equipments</t>
  </si>
  <si>
    <t>V-sat, Internet and related charges</t>
  </si>
  <si>
    <t>Training</t>
  </si>
  <si>
    <t>Bank Charges</t>
  </si>
  <si>
    <t>Miscellaneous Expenses</t>
  </si>
  <si>
    <t>Office Expenses</t>
  </si>
  <si>
    <t>Gross A &amp;G Expenses</t>
  </si>
  <si>
    <t xml:space="preserve">Net A &amp;G Expenses </t>
  </si>
  <si>
    <t>Plant &amp; Machinery</t>
  </si>
  <si>
    <t>Buildings</t>
  </si>
  <si>
    <t>Civil Works</t>
  </si>
  <si>
    <t>Hydraulic Works</t>
  </si>
  <si>
    <t>Lines &amp; Cable Networks</t>
  </si>
  <si>
    <t>Vehicles</t>
  </si>
  <si>
    <t>Furniture &amp; Fixtures</t>
  </si>
  <si>
    <t>Office Equipment</t>
  </si>
  <si>
    <t>Gross R&amp;M Expenses</t>
  </si>
  <si>
    <t>Gross Fixed Assets at beginning of year</t>
  </si>
  <si>
    <t>R&amp;M Expenses as % of GFA at beginning of year</t>
  </si>
  <si>
    <t>Additions during the year</t>
  </si>
  <si>
    <t>Total</t>
  </si>
  <si>
    <t>(MU)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</si>
  <si>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</si>
  <si>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</si>
  <si>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</si>
  <si>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</si>
  <si>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</si>
  <si>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</si>
  <si>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</si>
  <si>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</si>
  <si>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</si>
  <si>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Jan</t>
  </si>
  <si>
    <t>Feb</t>
  </si>
  <si>
    <t>Mar</t>
  </si>
  <si>
    <t>Actuals</t>
  </si>
  <si>
    <t xml:space="preserve"> Total</t>
  </si>
  <si>
    <t>Revenue from sale of electricity</t>
  </si>
  <si>
    <t>Non-Tariff Income</t>
  </si>
  <si>
    <t>Actual/Projected Availability</t>
  </si>
  <si>
    <t>Actual/Projected PLF</t>
  </si>
  <si>
    <t>Actual/Projected Gross Generation</t>
  </si>
  <si>
    <t>Actual/Projected Auxiliary Energy Consumption</t>
  </si>
  <si>
    <t>Actual/Projected Gross Station Heat Rate</t>
  </si>
  <si>
    <t>Actual/Projected Secondary Fuel Oil Consumption</t>
  </si>
  <si>
    <t>Actual/Projected Transit Loss</t>
  </si>
  <si>
    <t>Form 12</t>
  </si>
  <si>
    <t>Unit 1 / Station 1</t>
  </si>
  <si>
    <t>Unit 2 / Station 2</t>
  </si>
  <si>
    <t xml:space="preserve">Depreciation </t>
  </si>
  <si>
    <t>Addition of Loan during the year</t>
  </si>
  <si>
    <t>Form 13</t>
  </si>
  <si>
    <t>Total Revenue</t>
  </si>
  <si>
    <t>Auxiliary Consumption</t>
  </si>
  <si>
    <t>Normative Availability (%)</t>
  </si>
  <si>
    <t>Availability</t>
  </si>
  <si>
    <t>Plant Load Factor (PLF)</t>
  </si>
  <si>
    <t>Secondary Fuel Oil Consumption</t>
  </si>
  <si>
    <t>Opening Balance of Gross Normative Loan</t>
  </si>
  <si>
    <t>Cumulative Repayment till the year</t>
  </si>
  <si>
    <t>Opening Balance of Net Normative Loan</t>
  </si>
  <si>
    <t>Less: Reduction of Normative Loan due to retirement or replacement of assets</t>
  </si>
  <si>
    <t>Closing Balance of Net Normative Loan</t>
  </si>
  <si>
    <t>Closing Balance of Gross Normative Loan</t>
  </si>
  <si>
    <t>Return on Equity Computation</t>
  </si>
  <si>
    <t>Total Return on Equity</t>
  </si>
  <si>
    <t>Repayment of Normative loan during the year</t>
  </si>
  <si>
    <t>Total Loan</t>
  </si>
  <si>
    <t>Justification</t>
  </si>
  <si>
    <t>Financing Details</t>
  </si>
  <si>
    <t>Internal Resources</t>
  </si>
  <si>
    <t>Total Cost</t>
  </si>
  <si>
    <t>Financing of Additional Capitalisation</t>
  </si>
  <si>
    <t>Loan 2</t>
  </si>
  <si>
    <t>Loan 1</t>
  </si>
  <si>
    <t>S. No.</t>
  </si>
  <si>
    <t>Availability during the month (%)</t>
  </si>
  <si>
    <t>Cumulative Availability (%)</t>
  </si>
  <si>
    <t>Actual PLF during the month (%)</t>
  </si>
  <si>
    <t>Cumulative PLF (%)</t>
  </si>
  <si>
    <t>Gross  Generation (MU)</t>
  </si>
  <si>
    <t>Auxiliary Consumption (MU)</t>
  </si>
  <si>
    <t>Variable Charges Per Unit</t>
  </si>
  <si>
    <t>Fixed Charges During Month</t>
  </si>
  <si>
    <t>Incentive Amount</t>
  </si>
  <si>
    <t>Other recoveries/adjustments</t>
  </si>
  <si>
    <t>Rs./kWh</t>
  </si>
  <si>
    <t>Rs. Crore</t>
  </si>
  <si>
    <t>Total Revenue as per Audited Accounts</t>
  </si>
  <si>
    <t>Gross Station Heat Rate</t>
  </si>
  <si>
    <t>True-Up requirement</t>
  </si>
  <si>
    <t>Legend</t>
  </si>
  <si>
    <t xml:space="preserve">Details of outages should be submitted for each Unit of each station separately </t>
  </si>
  <si>
    <t>R &amp; M Expenses</t>
  </si>
  <si>
    <t>Installed Capacity</t>
  </si>
  <si>
    <t>Weighted average Rate of Interest on actual Loans (%)</t>
  </si>
  <si>
    <t>Average Balance of Net Normative Loan</t>
  </si>
  <si>
    <t>Average Loan Balance</t>
  </si>
  <si>
    <t>Net Generation (MU)</t>
  </si>
  <si>
    <t>Generation above target PLF (MU)</t>
  </si>
  <si>
    <t>Approved Fixed Charges</t>
  </si>
  <si>
    <t>Amount of Fuel Surcharge Adjustment</t>
  </si>
  <si>
    <t>Summary of Capital Expenditure and Capitalisation</t>
  </si>
  <si>
    <t>Type of Thermal Generating Station (Pithead/Non-Pithead)</t>
  </si>
  <si>
    <t>Form 15</t>
  </si>
  <si>
    <t>Form 16</t>
  </si>
  <si>
    <t>Regulatory Equity at the beginning of the year</t>
  </si>
  <si>
    <t>Capitalisation during the year</t>
  </si>
  <si>
    <t>Return on Regulatory Equity at the beginning of the year</t>
  </si>
  <si>
    <t>Return on Regulatory Equity addition during the year</t>
  </si>
  <si>
    <t>Revenue from Sale of Electricity</t>
  </si>
  <si>
    <t>n+1</t>
  </si>
  <si>
    <t xml:space="preserve">April-March     </t>
  </si>
  <si>
    <t>Claimed</t>
  </si>
  <si>
    <t>April - March</t>
  </si>
  <si>
    <t>Interest and finance charges on loan</t>
  </si>
  <si>
    <t>Return on Equity</t>
  </si>
  <si>
    <t>Annual Fixed Charges</t>
  </si>
  <si>
    <t>Energy Charges</t>
  </si>
  <si>
    <t>Energy Charge Rate</t>
  </si>
  <si>
    <t>Scheduled Energy (ex-bus)</t>
  </si>
  <si>
    <t>Apr - Mar</t>
  </si>
  <si>
    <t>Apr-Mar</t>
  </si>
  <si>
    <t>A&amp;G Expenses</t>
  </si>
  <si>
    <t>Note:</t>
  </si>
  <si>
    <t>The projections for the Control Period to be supported by detailed computations</t>
  </si>
  <si>
    <t>Opening Capital Works in Progress</t>
  </si>
  <si>
    <t>Closing Capital Works in Progress</t>
  </si>
  <si>
    <t>FY</t>
  </si>
  <si>
    <t>Name of the work</t>
  </si>
  <si>
    <t>Scope of work</t>
  </si>
  <si>
    <t>Total estimated cost* (Rs. Crore)</t>
  </si>
  <si>
    <t>*</t>
  </si>
  <si>
    <t>Total estimated cost to be supported by documentary evidences like work orders, investment approvals etc.</t>
  </si>
  <si>
    <t>Capitalisation during the year (Rs. Crore)</t>
  </si>
  <si>
    <t>Relevant Clause of the TSERC MYT Regulation, 2023 under which the capitalisation has been claimed</t>
  </si>
  <si>
    <t>A/c Code</t>
  </si>
  <si>
    <t>Rate of Depriciation</t>
  </si>
  <si>
    <t xml:space="preserve">Gross fixed Assets </t>
  </si>
  <si>
    <t>Provisions for depreciation</t>
  </si>
  <si>
    <t xml:space="preserve">Net fixed Assets </t>
  </si>
  <si>
    <t>At the beginning of the year</t>
  </si>
  <si>
    <t>Adjust. &amp; deductions</t>
  </si>
  <si>
    <t>At the end of the year</t>
  </si>
  <si>
    <t>Cumulative upto the beginning of the year</t>
  </si>
  <si>
    <t>Adjust. during the year</t>
  </si>
  <si>
    <t>Cumulative at the end of the year</t>
  </si>
  <si>
    <t xml:space="preserve">Asset Group                                                                                                                                                </t>
  </si>
  <si>
    <t>Form 2</t>
  </si>
  <si>
    <t>Form 2.3</t>
  </si>
  <si>
    <t>Form 2.1: Employee Expenses</t>
  </si>
  <si>
    <t>Form 2.3: Repair &amp; Maintenance Expenses</t>
  </si>
  <si>
    <t>Form 3:  Summary of Capital Expenditure and Capitalisation</t>
  </si>
  <si>
    <t>Form 3.1:  Statement of Additional Capitalisation after COD</t>
  </si>
  <si>
    <t>Form 4:  Fixed Assets &amp; Depreciation</t>
  </si>
  <si>
    <t>Capital Expenditure during the year</t>
  </si>
  <si>
    <t>Form 5:  Interest and finance charges on loan</t>
  </si>
  <si>
    <t>Normative Loan</t>
  </si>
  <si>
    <t>Interest</t>
  </si>
  <si>
    <t>Actual loan portfolio</t>
  </si>
  <si>
    <t>…......</t>
  </si>
  <si>
    <t>Finance charges</t>
  </si>
  <si>
    <t>Total Interest &amp; Finance charges</t>
  </si>
  <si>
    <t>Form 6:  Interest on working capital</t>
  </si>
  <si>
    <t>Cost of coal, towards stock</t>
  </si>
  <si>
    <t>Cost of coal for generation</t>
  </si>
  <si>
    <t>Cost of secondary fuel oil</t>
  </si>
  <si>
    <t>O&amp;M expenses</t>
  </si>
  <si>
    <t>Maintenance spares</t>
  </si>
  <si>
    <t>Less:</t>
  </si>
  <si>
    <t>Interest rate</t>
  </si>
  <si>
    <t>Interest on working capital</t>
  </si>
  <si>
    <t>Form 7:  Return on Equity</t>
  </si>
  <si>
    <t>Rate of Return on Equity</t>
  </si>
  <si>
    <t>Base rate of Return on Equity</t>
  </si>
  <si>
    <t>Effective Income Tax rate</t>
  </si>
  <si>
    <t>Form 8:  Non-Tariff Income</t>
  </si>
  <si>
    <t xml:space="preserve">April-March    </t>
  </si>
  <si>
    <t>Form 9:  Planned &amp; Forced Outages</t>
  </si>
  <si>
    <t>Form 10: Operational parameters</t>
  </si>
  <si>
    <t>Form 3.2:  Financing of Additional Capitalisation</t>
  </si>
  <si>
    <t>Additional capitalisation</t>
  </si>
  <si>
    <t>Others (Please Specify)</t>
  </si>
  <si>
    <t>Total (2+3+4+5)</t>
  </si>
  <si>
    <t>Opening Quantity</t>
  </si>
  <si>
    <t>Opening quantity of coal</t>
  </si>
  <si>
    <t>Value ot stock</t>
  </si>
  <si>
    <t>MT</t>
  </si>
  <si>
    <t>Procurement</t>
  </si>
  <si>
    <t>Quantity of coal suppllied by the coal company</t>
  </si>
  <si>
    <t>Coal supplied by coal company (3+4)</t>
  </si>
  <si>
    <t>Normative transit and handling loss</t>
  </si>
  <si>
    <t>Net coal supplied</t>
  </si>
  <si>
    <t>Price</t>
  </si>
  <si>
    <t>Amount charged by coal company</t>
  </si>
  <si>
    <t>Adjustment in amount charged by the coal company</t>
  </si>
  <si>
    <t>Handling, sampling and such other similar charges</t>
  </si>
  <si>
    <t>Total amount charged (8+9+10)</t>
  </si>
  <si>
    <t>D</t>
  </si>
  <si>
    <t>Transportation</t>
  </si>
  <si>
    <t>Transportation charges</t>
  </si>
  <si>
    <t>By rail</t>
  </si>
  <si>
    <t>By road</t>
  </si>
  <si>
    <t>By ship</t>
  </si>
  <si>
    <t>Adjustment in amount charged by the coal transporter</t>
  </si>
  <si>
    <t>Demurrage charges, if any</t>
  </si>
  <si>
    <t>Total Transportation charges (12+13+14+15)</t>
  </si>
  <si>
    <t>Total amount charged for coal supplied including transportation (11+16)</t>
  </si>
  <si>
    <t>E</t>
  </si>
  <si>
    <t>Landed cost of coal (2+17)/(1+7)</t>
  </si>
  <si>
    <t>Rs./MT</t>
  </si>
  <si>
    <t>Blending Ratio (Domestic/Imported)</t>
  </si>
  <si>
    <t>Weighted average cost of coal for preceding three months</t>
  </si>
  <si>
    <t>F</t>
  </si>
  <si>
    <t>Quality</t>
  </si>
  <si>
    <t>kcal/kg</t>
  </si>
  <si>
    <t>GCV of Domestic Coal supplied as per bill of Coal Company</t>
  </si>
  <si>
    <t>GCV of Imported Coal supplied as per bill Coal Company</t>
  </si>
  <si>
    <t>Weighted average GCV of coal as Billed</t>
  </si>
  <si>
    <t>GCV of Domestic Coal supplied as received at Station</t>
  </si>
  <si>
    <t>GCV of Imported Coal of opening stock as received at Station</t>
  </si>
  <si>
    <t>Weighted average GCV of coal as Received</t>
  </si>
  <si>
    <t>Similar details to be furnished for secondary fuel oil for coal based thermal plants with appropriate units.</t>
  </si>
  <si>
    <t>As billed and as received GCV, quantity of coal, and price should be submitted as certified by statutory auditor.</t>
  </si>
  <si>
    <t>Details to be provided for each source separately. In case of more than one source, add additional column.</t>
  </si>
  <si>
    <t>Break up of the amount charged by the Coal Company is to be provided separately.</t>
  </si>
  <si>
    <t>COD</t>
  </si>
  <si>
    <t>Form 11: Fuel Details for computation of Energy Charge Rate</t>
  </si>
  <si>
    <t>Form 12: Energy Charge Rate</t>
  </si>
  <si>
    <t>Secondary Fuel oil consumption</t>
  </si>
  <si>
    <t>Calorific Value of Secondary Fuel</t>
  </si>
  <si>
    <t>Landed Price of Secondary Fuel</t>
  </si>
  <si>
    <t>Landed Price of Coal</t>
  </si>
  <si>
    <t>Specific Coal Consumption</t>
  </si>
  <si>
    <t>ECR</t>
  </si>
  <si>
    <t>AUX</t>
  </si>
  <si>
    <t>SFC</t>
  </si>
  <si>
    <t>CVSF</t>
  </si>
  <si>
    <t>kcal/ml</t>
  </si>
  <si>
    <t>LPSF</t>
  </si>
  <si>
    <t>Rs./ml</t>
  </si>
  <si>
    <t>CVPF</t>
  </si>
  <si>
    <t>LPPF</t>
  </si>
  <si>
    <t>Rs./kg</t>
  </si>
  <si>
    <t>kg/kWh</t>
  </si>
  <si>
    <t>GSHR</t>
  </si>
  <si>
    <t>Gross Calorific Value of Coal</t>
  </si>
  <si>
    <t>Form 13: Sales</t>
  </si>
  <si>
    <t>Beneficiary</t>
  </si>
  <si>
    <t>Fuel Surcharge</t>
  </si>
  <si>
    <t>Energy Charges Amount</t>
  </si>
  <si>
    <t>Form 15: Revenue Reconciliation</t>
  </si>
  <si>
    <t>MYT/Tariff Order</t>
  </si>
  <si>
    <t xml:space="preserve"> Tariff Filing Formats - Generation</t>
  </si>
  <si>
    <t>Form</t>
  </si>
  <si>
    <t>Checklist</t>
  </si>
  <si>
    <t>Tick</t>
  </si>
  <si>
    <t>Form 14</t>
  </si>
  <si>
    <t>Summary Sheet</t>
  </si>
  <si>
    <t>Form 2:  Operation and Maintenance Expenses</t>
  </si>
  <si>
    <t>Operation and Maintenance Expenses</t>
  </si>
  <si>
    <t>Employee Expenses</t>
  </si>
  <si>
    <t>Administration &amp; General Expenses</t>
  </si>
  <si>
    <t>Repair &amp; Maintenance Expenses</t>
  </si>
  <si>
    <t>Statement of Additional Capitalisation after COD</t>
  </si>
  <si>
    <t>Fixed Assets &amp; Depreciation</t>
  </si>
  <si>
    <t>Operational parameters</t>
  </si>
  <si>
    <t>Fuel Details for computation of Energy Charge Rate</t>
  </si>
  <si>
    <t>Sales</t>
  </si>
  <si>
    <t>Revenue Reconciliation</t>
  </si>
  <si>
    <t>Summary of true-up</t>
  </si>
  <si>
    <t>GCV of Domestic Coal of the opening stock as received at Station</t>
  </si>
  <si>
    <t>GCV of Imported Coal of the opening stock as per bill Coal Company</t>
  </si>
  <si>
    <t>GCV of Domestic Coal of the opening coal stock as per bill of Coal Company</t>
  </si>
  <si>
    <t>Cost of diesel in transporting coal through MGR system, if applicable</t>
  </si>
  <si>
    <t>Unfunded past liabilities of pension &amp; gratuity</t>
  </si>
  <si>
    <t>AFC +Energy Charges</t>
  </si>
  <si>
    <t>MYT/ Tariff Order</t>
  </si>
  <si>
    <t>Adjustment in coal quantity supplied by the coal company (-/+)</t>
  </si>
  <si>
    <t>1 In case actual availability is less or more than normative value, the modification in the formula need to be done accordingly.</t>
  </si>
  <si>
    <r>
      <t>Addition of Normative Loan due to capitalisation during the year</t>
    </r>
    <r>
      <rPr>
        <sz val="10"/>
        <rFont val="Arial"/>
        <family val="2"/>
      </rPr>
      <t>1</t>
    </r>
  </si>
  <si>
    <t>1 In case actual loan is more than 75%, the modification in the formula need to be done accordingly.</t>
  </si>
  <si>
    <t xml:space="preserve">      &lt;TGGENCO&gt;</t>
  </si>
  <si>
    <t>TGGENCO</t>
  </si>
  <si>
    <t>FY 2023-24</t>
  </si>
  <si>
    <t>FY 2024-25</t>
  </si>
  <si>
    <t>FY 2025-26</t>
  </si>
  <si>
    <t>Form 2.2: Administrative &amp; General Expenses</t>
  </si>
  <si>
    <t>Form 1: Summary Sheet</t>
  </si>
  <si>
    <t>Coal Rate</t>
  </si>
  <si>
    <t>Oil Rate</t>
  </si>
  <si>
    <t>COMPUTERS</t>
  </si>
  <si>
    <t xml:space="preserve">CURRENT CONSUMPTION CHARGES                       </t>
  </si>
  <si>
    <t xml:space="preserve">INCOME FROM SALE OF ASH                           </t>
  </si>
  <si>
    <t xml:space="preserve">INCOME FROM SALE OF COAL REJECTS                  </t>
  </si>
  <si>
    <t xml:space="preserve">INCOME FROM SALE OF SCRAP                         </t>
  </si>
  <si>
    <t xml:space="preserve">INTEREST ON CYCLE/MOPED/MOTOR CYCLE/CAR ADVANCE   </t>
  </si>
  <si>
    <t xml:space="preserve">INTEREST ON MARRIAGE ADVANCE TO STAFF             </t>
  </si>
  <si>
    <t>INTEREST ON STAFF LOANS &amp; ADVANCES(HOUSE BUILDING)</t>
  </si>
  <si>
    <t xml:space="preserve">INTEREST/INCOME FROM OTHER DEPOSITS               </t>
  </si>
  <si>
    <t xml:space="preserve">INTEREST/INCOME ON DEPOSITS FROM BANKS            </t>
  </si>
  <si>
    <t xml:space="preserve">OTHER INCOME - CONSULTANCY PROJECTS               </t>
  </si>
  <si>
    <t xml:space="preserve">OTHER MISCELLANEOUS RECEIPTS/INCOME               </t>
  </si>
  <si>
    <t xml:space="preserve">OTHER RENTAL OR LETTING OUT                       </t>
  </si>
  <si>
    <t xml:space="preserve">PENALITIES RECOVERED FROM CONTRACTORS             </t>
  </si>
  <si>
    <t xml:space="preserve">RENTAL FROM RES. QUARTERS FROM UN REG PERSONS     </t>
  </si>
  <si>
    <t xml:space="preserve">RENTAL FROM STAFF FOR RESIDENTIAL QUARTERS        </t>
  </si>
  <si>
    <t xml:space="preserve">SALE OF TENDER SPECIFICATIONS                     </t>
  </si>
  <si>
    <t xml:space="preserve">VENDOR REGISTRATION FEE                           </t>
  </si>
  <si>
    <t xml:space="preserve">WATER CHARGES                                     </t>
  </si>
  <si>
    <t>Telangana State Power Generation Corporation Limited</t>
  </si>
  <si>
    <t>Opening quantity of oil</t>
  </si>
  <si>
    <t>KL</t>
  </si>
  <si>
    <t>Rs.in Crs</t>
  </si>
  <si>
    <t>Quantity of oil suppllied by the oil company</t>
  </si>
  <si>
    <t>Adjustment in oil quantity supplied by the oil company</t>
  </si>
  <si>
    <t>oil supplied by oil company (3+4)</t>
  </si>
  <si>
    <t>Net oil supplied</t>
  </si>
  <si>
    <t>Amount charged by oil company</t>
  </si>
  <si>
    <t>Adjustment in amount charged by the oil company</t>
  </si>
  <si>
    <t>Adjustment in amount charged by the oil transporter</t>
  </si>
  <si>
    <t>Cost of diesel in transporting oil through MGR system, if
applicable</t>
  </si>
  <si>
    <t>Total amount charged for oil supplied including transportation (11+16)</t>
  </si>
  <si>
    <t>Landed cost of oil (2+17)/(1+7)</t>
  </si>
  <si>
    <t>Rs./KL</t>
  </si>
  <si>
    <t>Weighted average cost of oil for preceding three months</t>
  </si>
  <si>
    <t xml:space="preserve">GCV of Domestic Oil of the opening Oil stock as per bill of Oil Company
</t>
  </si>
  <si>
    <t>kcal/litre</t>
  </si>
  <si>
    <t>GCV of Domestic Oil supplied as per bill of Oil Company</t>
  </si>
  <si>
    <t xml:space="preserve">GCV of Imported Oil of the opening stock as per bill Oil Company 
</t>
  </si>
  <si>
    <t>GCV of Imported Oil supplied as per bill Oil Company</t>
  </si>
  <si>
    <t>Weighted average GCV of Oil as Billed</t>
  </si>
  <si>
    <t xml:space="preserve">GCV of Domestic Oil of the opening stock as received at Station
</t>
  </si>
  <si>
    <t>GCV of Domestic Oil supplied as received at Station</t>
  </si>
  <si>
    <t xml:space="preserve">GCV of Imported Oil of opening stock as received at Station
</t>
  </si>
  <si>
    <t>GCV of Imported Oil of opening stock as received at Station</t>
  </si>
  <si>
    <t>Weighted average GCV of Oil as Received</t>
  </si>
  <si>
    <t>-</t>
  </si>
  <si>
    <t>Fuel (savings)/charge year end adjustment</t>
  </si>
  <si>
    <t>Fixed charges disallowed as per TGSLDC Availability</t>
  </si>
  <si>
    <t>Fixed charges reduced prorata to actual capitalisation in case of BTPS</t>
  </si>
  <si>
    <t>TGSPDCL (70.55%)</t>
  </si>
  <si>
    <t>TGNPDCL (29.45%)</t>
  </si>
  <si>
    <t>Revised Proposal</t>
  </si>
  <si>
    <t>(enclosed as Annexure)</t>
  </si>
  <si>
    <t>True-Up requirement (normative)</t>
  </si>
  <si>
    <t>True-Up requirement (Normative)</t>
  </si>
  <si>
    <t>FY 2026-27</t>
  </si>
  <si>
    <t>FY 2025-6</t>
  </si>
  <si>
    <t>KTPS-VII</t>
  </si>
  <si>
    <t>26.12.2018</t>
  </si>
  <si>
    <t xml:space="preserve">PROFIT ON SALE OF FIXED ASSETS                    </t>
  </si>
  <si>
    <t>LAND &amp;LAND RIGHTS</t>
  </si>
  <si>
    <t>BUILDINGS</t>
  </si>
  <si>
    <t>LINES AND CABLE NETWORK</t>
  </si>
  <si>
    <t>PLANT AND EQUIPMENT</t>
  </si>
  <si>
    <t>CAPITAL SPARES</t>
  </si>
  <si>
    <t>HYDRAULIC WORKS</t>
  </si>
  <si>
    <t>OTHER CIVIL WORKS</t>
  </si>
  <si>
    <t>VEHICLES</t>
  </si>
  <si>
    <t>FURNITURE &amp; FIXTURES</t>
  </si>
  <si>
    <t>OFFICE EQUIPMENTS</t>
  </si>
  <si>
    <t>Receivables1</t>
  </si>
  <si>
    <t>Payables for Fuels2</t>
  </si>
  <si>
    <t>Kothagudem Thermal Power Station- VII Stage</t>
  </si>
  <si>
    <t>HFO</t>
  </si>
  <si>
    <t>LDO</t>
  </si>
  <si>
    <t>HSD</t>
  </si>
  <si>
    <t xml:space="preserve">Oil Consumption </t>
  </si>
  <si>
    <t>Oil Consumption value</t>
  </si>
  <si>
    <t>Oil Consumption rate</t>
  </si>
  <si>
    <t xml:space="preserve">Projected </t>
  </si>
  <si>
    <t xml:space="preserve">Estimated </t>
  </si>
  <si>
    <t>Non-Pit Head</t>
  </si>
  <si>
    <t>Loan 1-Main -Plant -REC</t>
  </si>
  <si>
    <t xml:space="preserve">      &lt;KTPS-VII&gt;</t>
  </si>
  <si>
    <t>kcal/KL</t>
  </si>
  <si>
    <t>KTPS-VII Stage</t>
  </si>
  <si>
    <t>Name of the package           (BTG, BoP, Civil Works etc.)</t>
  </si>
  <si>
    <t>Capital expenditure during the year     (Rs. Crore)</t>
  </si>
  <si>
    <t>Asset group under which the capitalisation has been accounted                          (Land, Buldings, etc.)</t>
  </si>
  <si>
    <t>2024-25</t>
  </si>
  <si>
    <t>BTG</t>
  </si>
  <si>
    <t>Power house Building -Main</t>
  </si>
  <si>
    <t>buildings</t>
  </si>
  <si>
    <t>PO No.4900043114</t>
  </si>
  <si>
    <t>PO No. 5300000894</t>
  </si>
  <si>
    <t>Other Civil Works</t>
  </si>
  <si>
    <t>PO No. 4900011361</t>
  </si>
  <si>
    <t>PO NO. 4500031909</t>
  </si>
  <si>
    <t>Office Equipement</t>
  </si>
  <si>
    <t>2025-26</t>
  </si>
  <si>
    <t>KTPS –Stage VII –Supply &amp; Installation of Multi-Tier Shelving system with partitions of Godrej” or any Standard make in Storage Shed No.1 of KTPS- Stage VII, Paloncha, Bhadradri Kothagudem Dist.</t>
  </si>
  <si>
    <t>Shelving system with partitions  in Storage Shed No.1 of KTPS- Stage VII</t>
  </si>
  <si>
    <t>Supply &amp; Installation of Multi-Tier Shelving system with partitions of Godrej” or any Standard make in Storage Shed No.1 of KTPS- Stage VII</t>
  </si>
  <si>
    <t>Clause No.22.3</t>
  </si>
  <si>
    <t>Enclosed as Annexure</t>
  </si>
  <si>
    <t>2026-27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</si>
</sst>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5">
    <numFmt numFmtId="8" formatCode="&quot;$&quot;#,##0.00_);[Red]\(&quot;$&quot;#,##0.00\)"/>
    <numFmt numFmtId="43" formatCode="_(* #,##0.00_);_(* \(#,##0.00\);_(* &quot;-&quot;??_);_(@_)"/>
    <numFmt numFmtId="164" formatCode="_ * #,##0.00_ ;_ * \-#,##0.00_ ;_ * &quot;-&quot;??_ ;_ @_ "/>
    <numFmt numFmtId="165" formatCode="_-* #,##0.00_-;\-* #,##0.00_-;_-* &quot;-&quot;??_-;_-@_-"/>
    <numFmt numFmtId="166" formatCode="0.00_)"/>
    <numFmt numFmtId="167" formatCode="&quot;ß&quot;#,##0.00_);\(&quot;ß&quot;#,##0.00\)"/>
    <numFmt numFmtId="168" formatCode="0.0000000"/>
    <numFmt numFmtId="169" formatCode="0.0"/>
    <numFmt numFmtId="170" formatCode="0.000"/>
    <numFmt numFmtId="171" formatCode="0.00000000000"/>
    <numFmt numFmtId="172" formatCode="dd\.mm\.yyyy"/>
    <numFmt numFmtId="173" formatCode="_ * #,##0.000_ ;_ * \-#,##0.000_ ;_ * &quot;-&quot;???_ ;_ @_ "/>
    <numFmt numFmtId="174" formatCode="_(* #,##0.000_);_(* \(#,##0.000\);_(* &quot;-&quot;??_);_(@_)"/>
    <numFmt numFmtId="175" formatCode="_ &quot;రూ&quot;\ * #,##0.00_ ;_ &quot;రూ&quot;\ * \-#,##0.00_ ;_ &quot;రూ&quot;\ * &quot;-&quot;??_ ;_ @_ "/>
    <numFmt numFmtId="176" formatCode="0.000%"/>
  </numFmts>
  <fonts count="42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Times New Roman"/>
      <family val="1"/>
    </font>
    <font>
      <sz val="12"/>
      <name val="Arial"/>
      <family val="2"/>
    </font>
    <font>
      <sz val="10"/>
      <name val="Arial"/>
      <family val="2"/>
    </font>
    <font>
      <sz val="12"/>
      <name val="Tms Rmn"/>
    </font>
    <font>
      <sz val="10"/>
      <name val="Helv"/>
    </font>
    <font>
      <sz val="8"/>
      <name val="Arial"/>
      <family val="2"/>
    </font>
    <font>
      <b/>
      <sz val="12"/>
      <name val="Arial"/>
      <family val="2"/>
    </font>
    <font>
      <sz val="7"/>
      <name val="Small Fonts"/>
      <family val="2"/>
    </font>
    <font>
      <b/>
      <i/>
      <sz val="16"/>
      <name val="Helv"/>
    </font>
    <font>
      <sz val="11"/>
      <name val="Arial"/>
      <family val="2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theme="1"/>
      <name val="Calibri"/>
      <family val="2"/>
    </font>
    <font>
      <sz val="10"/>
      <name val="Arial"/>
      <family val="2"/>
    </font>
    <font>
      <b/>
      <sz val="11"/>
      <name val="Arial"/>
      <family val="2"/>
    </font>
    <font>
      <i/>
      <sz val="11"/>
      <name val="Arial"/>
      <family val="2"/>
    </font>
    <font>
      <vertAlign val="superscript"/>
      <sz val="1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1"/>
      <color indexed="9"/>
      <name val="Arial"/>
      <family val="2"/>
    </font>
    <font>
      <sz val="10"/>
      <name val="Arial"/>
      <family val="2"/>
    </font>
    <font>
      <u/>
      <sz val="11"/>
      <color theme="10"/>
      <name val="Calibri"/>
      <family val="2"/>
    </font>
    <font>
      <sz val="11"/>
      <color rgb="FF000000"/>
      <name val="Calibri"/>
      <family val="2"/>
      <scheme val="minor"/>
    </font>
    <font>
      <b/>
      <sz val="13"/>
      <name val="Arial"/>
      <family val="2"/>
    </font>
    <font>
      <sz val="13"/>
      <name val="Arial"/>
      <family val="2"/>
    </font>
    <font>
      <b/>
      <sz val="11"/>
      <color indexed="8"/>
      <name val="Arial"/>
      <family val="2"/>
    </font>
    <font>
      <b/>
      <sz val="10"/>
      <name val="Arial"/>
      <family val="2"/>
    </font>
    <font>
      <sz val="13"/>
      <name val="Calibri"/>
      <family val="2"/>
      <scheme val="minor"/>
    </font>
    <font>
      <b/>
      <sz val="13"/>
      <name val="Calibri"/>
      <family val="2"/>
      <scheme val="minor"/>
    </font>
    <font>
      <sz val="11"/>
      <color indexed="8"/>
      <name val="Arial"/>
      <family val="2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rgb="FF000000"/>
      <name val="Times New Roman"/>
      <family val="1"/>
    </font>
    <font>
      <b/>
      <sz val="11"/>
      <color rgb="FFFF000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19">
    <border>
      <left/>
      <right/>
      <top/>
      <bottom/>
      <diagonal/>
    </border>
    <border>
      <left/>
      <right style="thin">
        <color indexed="8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83">
    <xf numFmtId="0" fontId="0" fillId="0" borderId="0"/>
    <xf numFmtId="0" fontId="11" fillId="0" borderId="0" applyNumberFormat="0" applyFill="0" applyBorder="0" applyAlignment="0" applyProtection="0"/>
    <xf numFmtId="0" fontId="12" fillId="0" borderId="1"/>
    <xf numFmtId="0" fontId="12" fillId="0" borderId="1"/>
    <xf numFmtId="38" fontId="13" fillId="2" borderId="0" applyNumberFormat="0" applyBorder="0" applyAlignment="0" applyProtection="0"/>
    <xf numFmtId="0" fontId="14" fillId="0" borderId="2" applyNumberFormat="0" applyAlignment="0" applyProtection="0">
      <alignment horizontal="left" vertical="center"/>
    </xf>
    <xf numFmtId="0" fontId="14" fillId="0" borderId="3">
      <alignment horizontal="left" vertical="center"/>
    </xf>
    <xf numFmtId="10" fontId="13" fillId="3" borderId="4" applyNumberFormat="0" applyBorder="0" applyAlignment="0" applyProtection="0"/>
    <xf numFmtId="37" fontId="15" fillId="0" borderId="0"/>
    <xf numFmtId="166" fontId="16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>
      <alignment vertical="center"/>
    </xf>
    <xf numFmtId="167" fontId="10" fillId="0" borderId="0" applyFont="0" applyFill="0" applyBorder="0" applyAlignment="0" applyProtection="0"/>
    <xf numFmtId="10" fontId="10" fillId="0" borderId="0" applyFont="0" applyFill="0" applyBorder="0" applyAlignment="0" applyProtection="0"/>
    <xf numFmtId="0" fontId="10" fillId="0" borderId="0"/>
    <xf numFmtId="0" fontId="18" fillId="0" borderId="0"/>
    <xf numFmtId="43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165" fontId="19" fillId="0" borderId="0" applyFont="0" applyFill="0" applyBorder="0" applyAlignment="0" applyProtection="0"/>
    <xf numFmtId="0" fontId="20" fillId="0" borderId="0"/>
    <xf numFmtId="9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0" fillId="0" borderId="0" applyFont="0" applyFill="0" applyBorder="0" applyAlignment="0" applyProtection="0"/>
    <xf numFmtId="164" fontId="19" fillId="0" borderId="0" applyFont="0" applyFill="0" applyBorder="0" applyAlignment="0" applyProtection="0"/>
    <xf numFmtId="0" fontId="10" fillId="0" borderId="0"/>
    <xf numFmtId="0" fontId="10" fillId="0" borderId="0"/>
    <xf numFmtId="0" fontId="10" fillId="0" borderId="0"/>
    <xf numFmtId="0" fontId="10" fillId="0" borderId="0"/>
    <xf numFmtId="0" fontId="18" fillId="0" borderId="0"/>
    <xf numFmtId="0" fontId="19" fillId="0" borderId="0"/>
    <xf numFmtId="0" fontId="19" fillId="0" borderId="0"/>
    <xf numFmtId="0" fontId="18" fillId="0" borderId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9" fillId="0" borderId="0" applyFont="0" applyFill="0" applyBorder="0" applyAlignment="0" applyProtection="0"/>
    <xf numFmtId="43" fontId="21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0" fontId="10" fillId="0" borderId="0"/>
    <xf numFmtId="0" fontId="10" fillId="0" borderId="0"/>
    <xf numFmtId="0" fontId="8" fillId="0" borderId="0"/>
    <xf numFmtId="0" fontId="10" fillId="0" borderId="0" applyBorder="0" applyProtection="0"/>
    <xf numFmtId="167" fontId="19" fillId="0" borderId="0" applyFont="0" applyFill="0" applyBorder="0" applyAlignment="0" applyProtection="0"/>
    <xf numFmtId="0" fontId="10" fillId="0" borderId="0"/>
    <xf numFmtId="0" fontId="10" fillId="0" borderId="0"/>
    <xf numFmtId="0" fontId="10" fillId="0" borderId="0"/>
    <xf numFmtId="9" fontId="10" fillId="0" borderId="0" applyFont="0" applyFill="0" applyBorder="0" applyAlignment="0" applyProtection="0"/>
    <xf numFmtId="0" fontId="7" fillId="0" borderId="0"/>
    <xf numFmtId="43" fontId="7" fillId="0" borderId="0" applyFont="0" applyFill="0" applyBorder="0" applyAlignment="0" applyProtection="0"/>
    <xf numFmtId="165" fontId="10" fillId="0" borderId="0" applyFont="0" applyFill="0" applyBorder="0" applyAlignment="0" applyProtection="0"/>
    <xf numFmtId="43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6" fillId="0" borderId="0"/>
    <xf numFmtId="0" fontId="6" fillId="0" borderId="0"/>
    <xf numFmtId="0" fontId="5" fillId="0" borderId="0"/>
    <xf numFmtId="0" fontId="4" fillId="0" borderId="0"/>
    <xf numFmtId="164" fontId="28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74" fontId="10" fillId="0" borderId="0" applyFont="0" applyFill="0" applyBorder="0" applyAlignment="0" applyProtection="0"/>
    <xf numFmtId="174" fontId="10" fillId="0" borderId="0" applyFont="0" applyFill="0" applyBorder="0" applyAlignment="0" applyProtection="0"/>
    <xf numFmtId="174" fontId="10" fillId="0" borderId="0" applyFont="0" applyFill="0" applyBorder="0" applyAlignment="0" applyProtection="0"/>
    <xf numFmtId="174" fontId="10" fillId="0" borderId="0" applyFont="0" applyFill="0" applyBorder="0" applyAlignment="0" applyProtection="0"/>
    <xf numFmtId="174" fontId="10" fillId="0" borderId="0" applyFont="0" applyFill="0" applyBorder="0" applyAlignment="0" applyProtection="0"/>
    <xf numFmtId="174" fontId="10" fillId="0" borderId="0" applyFont="0" applyFill="0" applyBorder="0" applyAlignment="0" applyProtection="0"/>
    <xf numFmtId="174" fontId="10" fillId="0" borderId="0" applyFont="0" applyFill="0" applyBorder="0" applyAlignment="0" applyProtection="0"/>
    <xf numFmtId="174" fontId="10" fillId="0" borderId="0" applyFont="0" applyFill="0" applyBorder="0" applyAlignment="0" applyProtection="0"/>
    <xf numFmtId="173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10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10" fillId="0" borderId="0" applyFont="0" applyFill="0" applyBorder="0" applyAlignment="0" applyProtection="0"/>
    <xf numFmtId="0" fontId="3" fillId="0" borderId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3" fillId="0" borderId="0"/>
    <xf numFmtId="8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3" fillId="0" borderId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75" fontId="10" fillId="0" borderId="0" applyFont="0" applyFill="0" applyBorder="0" applyAlignment="0" applyProtection="0"/>
    <xf numFmtId="0" fontId="29" fillId="0" borderId="0" applyNumberFormat="0" applyFill="0" applyBorder="0" applyAlignment="0" applyProtection="0">
      <alignment vertical="top"/>
      <protection locked="0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10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0" fillId="0" borderId="0"/>
    <xf numFmtId="0" fontId="3" fillId="0" borderId="0"/>
    <xf numFmtId="0" fontId="3" fillId="0" borderId="0"/>
    <xf numFmtId="175" fontId="10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72" fontId="10" fillId="0" borderId="0" applyFont="0" applyFill="0" applyBorder="0" applyAlignment="0" applyProtection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72" fontId="10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0" fillId="0" borderId="0"/>
    <xf numFmtId="0" fontId="30" fillId="0" borderId="0"/>
    <xf numFmtId="0" fontId="3" fillId="0" borderId="0"/>
    <xf numFmtId="0" fontId="30" fillId="0" borderId="0"/>
    <xf numFmtId="0" fontId="3" fillId="0" borderId="0"/>
    <xf numFmtId="0" fontId="3" fillId="0" borderId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/>
    <xf numFmtId="0" fontId="3" fillId="0" borderId="0"/>
    <xf numFmtId="164" fontId="10" fillId="0" borderId="0" applyFont="0" applyFill="0" applyBorder="0" applyAlignment="0" applyProtection="0"/>
    <xf numFmtId="0" fontId="3" fillId="0" borderId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/>
    <xf numFmtId="164" fontId="10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175" fontId="10" fillId="0" borderId="0" applyFont="0" applyFill="0" applyBorder="0" applyAlignment="0" applyProtection="0"/>
    <xf numFmtId="175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8" fontId="10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75" fontId="10" fillId="0" borderId="0" applyFont="0" applyFill="0" applyBorder="0" applyAlignment="0" applyProtection="0"/>
    <xf numFmtId="175" fontId="10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/>
    <xf numFmtId="164" fontId="10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 applyFont="0" applyFill="0" applyBorder="0" applyAlignment="0" applyProtection="0"/>
    <xf numFmtId="0" fontId="30" fillId="0" borderId="0"/>
    <xf numFmtId="0" fontId="3" fillId="0" borderId="0" applyFont="0" applyFill="0" applyBorder="0" applyAlignment="0" applyProtection="0"/>
    <xf numFmtId="0" fontId="3" fillId="0" borderId="0"/>
    <xf numFmtId="0" fontId="30" fillId="0" borderId="0"/>
    <xf numFmtId="0" fontId="3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0" fontId="3" fillId="0" borderId="0"/>
    <xf numFmtId="0" fontId="10" fillId="0" borderId="0"/>
    <xf numFmtId="0" fontId="3" fillId="0" borderId="0"/>
    <xf numFmtId="0" fontId="3" fillId="0" borderId="0"/>
    <xf numFmtId="175" fontId="10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164" fontId="10" fillId="0" borderId="0" applyFont="0" applyFill="0" applyBorder="0" applyAlignment="0" applyProtection="0"/>
    <xf numFmtId="0" fontId="3" fillId="0" borderId="0"/>
    <xf numFmtId="8" fontId="10" fillId="0" borderId="0" applyFont="0" applyFill="0" applyBorder="0" applyAlignment="0" applyProtection="0"/>
    <xf numFmtId="0" fontId="3" fillId="0" borderId="0"/>
    <xf numFmtId="164" fontId="10" fillId="0" borderId="0" applyFont="0" applyFill="0" applyBorder="0" applyAlignment="0" applyProtection="0"/>
    <xf numFmtId="0" fontId="3" fillId="0" borderId="0"/>
    <xf numFmtId="0" fontId="3" fillId="0" borderId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0" fontId="3" fillId="0" borderId="0"/>
    <xf numFmtId="0" fontId="1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10" fillId="0" borderId="0" applyFont="0" applyFill="0" applyBorder="0" applyAlignment="0" applyProtection="0"/>
    <xf numFmtId="0" fontId="3" fillId="0" borderId="0"/>
    <xf numFmtId="8" fontId="10" fillId="0" borderId="0" applyFont="0" applyFill="0" applyBorder="0" applyAlignment="0" applyProtection="0"/>
    <xf numFmtId="0" fontId="3" fillId="0" borderId="0"/>
    <xf numFmtId="164" fontId="10" fillId="0" borderId="0" applyFont="0" applyFill="0" applyBorder="0" applyAlignment="0" applyProtection="0"/>
    <xf numFmtId="0" fontId="3" fillId="0" borderId="0"/>
    <xf numFmtId="0" fontId="3" fillId="0" borderId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0" fontId="3" fillId="0" borderId="0"/>
    <xf numFmtId="0" fontId="1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10" fillId="0" borderId="0" applyFont="0" applyFill="0" applyBorder="0" applyAlignment="0" applyProtection="0"/>
    <xf numFmtId="0" fontId="3" fillId="0" borderId="0"/>
    <xf numFmtId="8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0" fontId="3" fillId="0" borderId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0" fontId="3" fillId="0" borderId="0"/>
    <xf numFmtId="0" fontId="1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10" fillId="0" borderId="0" applyFont="0" applyFill="0" applyBorder="0" applyAlignment="0" applyProtection="0"/>
    <xf numFmtId="0" fontId="3" fillId="0" borderId="0"/>
    <xf numFmtId="8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0" fontId="3" fillId="0" borderId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3" fillId="0" borderId="0"/>
    <xf numFmtId="0" fontId="10" fillId="0" borderId="0"/>
    <xf numFmtId="0" fontId="3" fillId="0" borderId="0"/>
    <xf numFmtId="0" fontId="3" fillId="0" borderId="0"/>
    <xf numFmtId="164" fontId="10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8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0" fontId="3" fillId="0" borderId="0"/>
    <xf numFmtId="164" fontId="10" fillId="0" borderId="0" applyFont="0" applyFill="0" applyBorder="0" applyAlignment="0" applyProtection="0"/>
    <xf numFmtId="0" fontId="1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  <xf numFmtId="0" fontId="10" fillId="0" borderId="0"/>
    <xf numFmtId="0" fontId="10" fillId="0" borderId="0"/>
    <xf numFmtId="0" fontId="10" fillId="0" borderId="0"/>
    <xf numFmtId="164" fontId="1" fillId="0" borderId="0" applyFont="0" applyFill="0" applyBorder="0" applyAlignment="0" applyProtection="0"/>
    <xf numFmtId="0" fontId="40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40" fillId="0" borderId="0"/>
    <xf numFmtId="0" fontId="10" fillId="0" borderId="0"/>
    <xf numFmtId="0" fontId="10" fillId="0" borderId="0"/>
    <xf numFmtId="0" fontId="10" fillId="0" borderId="0"/>
    <xf numFmtId="0" fontId="1" fillId="0" borderId="0"/>
    <xf numFmtId="0" fontId="1" fillId="0" borderId="0"/>
  </cellStyleXfs>
  <cellXfs count="390">
    <xf numFmtId="0" fontId="0" fillId="0" borderId="0" xfId="0"/>
    <xf numFmtId="0" fontId="9" fillId="0" borderId="0" xfId="10" applyFont="1" applyAlignment="1">
      <alignment horizontal="center" vertical="center"/>
    </xf>
    <xf numFmtId="0" fontId="17" fillId="0" borderId="4" xfId="14" applyFont="1" applyBorder="1" applyAlignment="1">
      <alignment horizontal="center" vertical="center"/>
    </xf>
    <xf numFmtId="0" fontId="17" fillId="0" borderId="4" xfId="14" applyFont="1" applyBorder="1">
      <alignment vertical="center"/>
    </xf>
    <xf numFmtId="0" fontId="17" fillId="0" borderId="0" xfId="10" applyFont="1"/>
    <xf numFmtId="0" fontId="17" fillId="0" borderId="0" xfId="10" applyFont="1" applyAlignment="1">
      <alignment vertical="center"/>
    </xf>
    <xf numFmtId="0" fontId="9" fillId="0" borderId="0" xfId="14" applyFont="1">
      <alignment vertical="center"/>
    </xf>
    <xf numFmtId="0" fontId="9" fillId="0" borderId="4" xfId="14" applyFont="1" applyBorder="1" applyAlignment="1">
      <alignment horizontal="center" vertical="center"/>
    </xf>
    <xf numFmtId="0" fontId="9" fillId="0" borderId="4" xfId="14" applyFont="1" applyBorder="1" applyAlignment="1">
      <alignment horizontal="left" vertical="center"/>
    </xf>
    <xf numFmtId="0" fontId="9" fillId="0" borderId="4" xfId="14" applyFont="1" applyBorder="1" applyAlignment="1">
      <alignment vertical="top" wrapText="1"/>
    </xf>
    <xf numFmtId="0" fontId="9" fillId="0" borderId="0" xfId="10" applyFont="1"/>
    <xf numFmtId="0" fontId="14" fillId="0" borderId="8" xfId="14" applyFont="1" applyBorder="1" applyAlignment="1">
      <alignment horizontal="center" vertical="center"/>
    </xf>
    <xf numFmtId="0" fontId="14" fillId="0" borderId="4" xfId="14" applyFont="1" applyBorder="1" applyAlignment="1">
      <alignment horizontal="center" vertical="center"/>
    </xf>
    <xf numFmtId="0" fontId="17" fillId="0" borderId="0" xfId="14" applyFont="1">
      <alignment vertical="center"/>
    </xf>
    <xf numFmtId="0" fontId="22" fillId="0" borderId="4" xfId="14" applyFont="1" applyBorder="1" applyAlignment="1">
      <alignment horizontal="center" vertical="center"/>
    </xf>
    <xf numFmtId="0" fontId="22" fillId="0" borderId="4" xfId="14" applyFont="1" applyBorder="1" applyAlignment="1">
      <alignment horizontal="center" vertical="center" wrapText="1"/>
    </xf>
    <xf numFmtId="0" fontId="17" fillId="0" borderId="4" xfId="14" applyFont="1" applyBorder="1" applyAlignment="1">
      <alignment horizontal="left" vertical="center"/>
    </xf>
    <xf numFmtId="0" fontId="17" fillId="5" borderId="4" xfId="14" applyFont="1" applyFill="1" applyBorder="1" applyAlignment="1">
      <alignment horizontal="left" vertical="center"/>
    </xf>
    <xf numFmtId="0" fontId="17" fillId="0" borderId="4" xfId="14" applyFont="1" applyBorder="1" applyAlignment="1">
      <alignment vertical="top" wrapText="1"/>
    </xf>
    <xf numFmtId="0" fontId="22" fillId="0" borderId="4" xfId="14" applyFont="1" applyBorder="1">
      <alignment vertical="center"/>
    </xf>
    <xf numFmtId="0" fontId="17" fillId="0" borderId="4" xfId="10" applyFont="1" applyBorder="1" applyAlignment="1">
      <alignment horizontal="center" vertical="center"/>
    </xf>
    <xf numFmtId="0" fontId="17" fillId="0" borderId="4" xfId="10" applyFont="1" applyBorder="1" applyAlignment="1">
      <alignment horizontal="center" vertical="center" wrapText="1"/>
    </xf>
    <xf numFmtId="0" fontId="22" fillId="0" borderId="7" xfId="10" applyFont="1" applyBorder="1" applyAlignment="1">
      <alignment horizontal="center" vertical="center" wrapText="1"/>
    </xf>
    <xf numFmtId="0" fontId="22" fillId="0" borderId="4" xfId="10" applyFont="1" applyBorder="1" applyAlignment="1">
      <alignment horizontal="center" vertical="center"/>
    </xf>
    <xf numFmtId="0" fontId="22" fillId="0" borderId="0" xfId="10" applyFont="1" applyAlignment="1">
      <alignment horizontal="left" vertical="center"/>
    </xf>
    <xf numFmtId="0" fontId="22" fillId="0" borderId="0" xfId="10" applyFont="1" applyAlignment="1">
      <alignment horizontal="right" vertical="center"/>
    </xf>
    <xf numFmtId="0" fontId="22" fillId="0" borderId="0" xfId="14" applyFont="1" applyAlignment="1">
      <alignment horizontal="right" vertical="center"/>
    </xf>
    <xf numFmtId="0" fontId="17" fillId="0" borderId="4" xfId="10" applyFont="1" applyBorder="1" applyAlignment="1">
      <alignment vertical="center"/>
    </xf>
    <xf numFmtId="0" fontId="17" fillId="0" borderId="4" xfId="0" applyFont="1" applyBorder="1" applyAlignment="1">
      <alignment vertical="center"/>
    </xf>
    <xf numFmtId="0" fontId="17" fillId="0" borderId="4" xfId="10" applyFont="1" applyBorder="1" applyAlignment="1">
      <alignment horizontal="left" vertical="center"/>
    </xf>
    <xf numFmtId="0" fontId="22" fillId="0" borderId="4" xfId="10" applyFont="1" applyBorder="1" applyAlignment="1">
      <alignment horizontal="left" vertical="center" wrapText="1"/>
    </xf>
    <xf numFmtId="0" fontId="22" fillId="0" borderId="4" xfId="10" applyFont="1" applyBorder="1" applyAlignment="1">
      <alignment horizontal="center" vertical="center" wrapText="1"/>
    </xf>
    <xf numFmtId="0" fontId="22" fillId="0" borderId="0" xfId="10" applyFont="1" applyAlignment="1">
      <alignment vertical="center"/>
    </xf>
    <xf numFmtId="0" fontId="22" fillId="0" borderId="0" xfId="14" applyFont="1" applyAlignment="1">
      <alignment horizontal="center" vertical="center"/>
    </xf>
    <xf numFmtId="0" fontId="17" fillId="0" borderId="0" xfId="10" applyFont="1" applyAlignment="1">
      <alignment horizontal="center" vertical="center"/>
    </xf>
    <xf numFmtId="0" fontId="22" fillId="0" borderId="0" xfId="10" applyFont="1" applyAlignment="1">
      <alignment horizontal="center" vertical="center"/>
    </xf>
    <xf numFmtId="0" fontId="22" fillId="0" borderId="0" xfId="14" applyFont="1">
      <alignment vertical="center"/>
    </xf>
    <xf numFmtId="0" fontId="17" fillId="0" borderId="4" xfId="10" applyFont="1" applyBorder="1" applyAlignment="1">
      <alignment horizontal="left" vertical="center" wrapText="1"/>
    </xf>
    <xf numFmtId="0" fontId="22" fillId="0" borderId="0" xfId="14" applyFont="1" applyAlignment="1">
      <alignment horizontal="center" vertical="center" wrapText="1"/>
    </xf>
    <xf numFmtId="0" fontId="22" fillId="0" borderId="4" xfId="10" applyFont="1" applyBorder="1" applyAlignment="1">
      <alignment vertical="center"/>
    </xf>
    <xf numFmtId="0" fontId="17" fillId="0" borderId="4" xfId="10" applyFont="1" applyBorder="1" applyAlignment="1">
      <alignment horizontal="right" vertical="center"/>
    </xf>
    <xf numFmtId="0" fontId="17" fillId="0" borderId="0" xfId="10" applyFont="1" applyAlignment="1">
      <alignment horizontal="centerContinuous"/>
    </xf>
    <xf numFmtId="0" fontId="22" fillId="0" borderId="0" xfId="10" applyFont="1" applyAlignment="1">
      <alignment horizontal="justify" vertical="top" wrapText="1"/>
    </xf>
    <xf numFmtId="0" fontId="17" fillId="0" borderId="0" xfId="10" applyFont="1" applyAlignment="1">
      <alignment horizontal="left"/>
    </xf>
    <xf numFmtId="0" fontId="17" fillId="0" borderId="4" xfId="10" applyFont="1" applyBorder="1" applyAlignment="1">
      <alignment wrapText="1"/>
    </xf>
    <xf numFmtId="0" fontId="17" fillId="0" borderId="0" xfId="10" applyFont="1" applyAlignment="1">
      <alignment horizontal="left" vertical="center"/>
    </xf>
    <xf numFmtId="0" fontId="17" fillId="0" borderId="0" xfId="10" applyFont="1" applyAlignment="1">
      <alignment horizontal="right" vertical="center"/>
    </xf>
    <xf numFmtId="0" fontId="23" fillId="0" borderId="0" xfId="10" applyFont="1" applyAlignment="1">
      <alignment horizontal="left" vertical="center"/>
    </xf>
    <xf numFmtId="0" fontId="23" fillId="0" borderId="0" xfId="10" applyFont="1" applyAlignment="1">
      <alignment vertical="center"/>
    </xf>
    <xf numFmtId="0" fontId="23" fillId="0" borderId="0" xfId="10" applyFont="1" applyAlignment="1">
      <alignment horizontal="center" vertical="center"/>
    </xf>
    <xf numFmtId="0" fontId="17" fillId="0" borderId="4" xfId="10" quotePrefix="1" applyFont="1" applyBorder="1" applyAlignment="1">
      <alignment horizontal="left" vertical="top" wrapText="1"/>
    </xf>
    <xf numFmtId="0" fontId="17" fillId="0" borderId="4" xfId="10" applyFont="1" applyBorder="1" applyAlignment="1">
      <alignment horizontal="left"/>
    </xf>
    <xf numFmtId="0" fontId="22" fillId="0" borderId="4" xfId="10" applyFont="1" applyBorder="1" applyAlignment="1">
      <alignment horizontal="left"/>
    </xf>
    <xf numFmtId="0" fontId="17" fillId="0" borderId="0" xfId="14" applyFont="1" applyAlignment="1">
      <alignment horizontal="center" vertical="center"/>
    </xf>
    <xf numFmtId="0" fontId="17" fillId="0" borderId="4" xfId="10" applyFont="1" applyBorder="1" applyAlignment="1">
      <alignment horizontal="left" vertical="top" wrapText="1"/>
    </xf>
    <xf numFmtId="0" fontId="22" fillId="0" borderId="0" xfId="10" applyFont="1" applyAlignment="1">
      <alignment horizontal="left"/>
    </xf>
    <xf numFmtId="0" fontId="22" fillId="0" borderId="0" xfId="10" applyFont="1" applyAlignment="1">
      <alignment horizontal="right"/>
    </xf>
    <xf numFmtId="0" fontId="22" fillId="0" borderId="0" xfId="10" applyFont="1" applyAlignment="1">
      <alignment horizontal="left" vertical="center" wrapText="1"/>
    </xf>
    <xf numFmtId="0" fontId="22" fillId="0" borderId="0" xfId="10" applyFont="1" applyAlignment="1">
      <alignment horizontal="center" vertical="center" wrapText="1"/>
    </xf>
    <xf numFmtId="0" fontId="17" fillId="0" borderId="7" xfId="10" applyFont="1" applyBorder="1" applyAlignment="1">
      <alignment horizontal="center" vertical="center"/>
    </xf>
    <xf numFmtId="0" fontId="23" fillId="0" borderId="0" xfId="10" applyFont="1" applyAlignment="1">
      <alignment horizontal="right" vertical="center"/>
    </xf>
    <xf numFmtId="0" fontId="17" fillId="0" borderId="0" xfId="10" applyFont="1" applyAlignment="1">
      <alignment horizontal="center"/>
    </xf>
    <xf numFmtId="0" fontId="22" fillId="4" borderId="13" xfId="67" applyFont="1" applyFill="1" applyBorder="1" applyAlignment="1">
      <alignment horizontal="center" vertical="center" wrapText="1"/>
    </xf>
    <xf numFmtId="0" fontId="22" fillId="4" borderId="14" xfId="67" applyFont="1" applyFill="1" applyBorder="1" applyAlignment="1">
      <alignment horizontal="center" vertical="center" wrapText="1"/>
    </xf>
    <xf numFmtId="0" fontId="17" fillId="4" borderId="12" xfId="67" applyFont="1" applyFill="1" applyBorder="1" applyAlignment="1">
      <alignment horizontal="center" vertical="center"/>
    </xf>
    <xf numFmtId="0" fontId="22" fillId="4" borderId="13" xfId="67" applyFont="1" applyFill="1" applyBorder="1" applyAlignment="1">
      <alignment horizontal="center" vertical="center"/>
    </xf>
    <xf numFmtId="0" fontId="14" fillId="0" borderId="0" xfId="14" applyFont="1" applyAlignment="1">
      <alignment horizontal="center" vertical="center"/>
    </xf>
    <xf numFmtId="0" fontId="22" fillId="0" borderId="6" xfId="14" applyFont="1" applyBorder="1" applyAlignment="1">
      <alignment horizontal="center" vertical="center" wrapText="1"/>
    </xf>
    <xf numFmtId="0" fontId="17" fillId="0" borderId="4" xfId="10" applyFont="1" applyBorder="1" applyAlignment="1">
      <alignment vertical="center" wrapText="1"/>
    </xf>
    <xf numFmtId="0" fontId="17" fillId="0" borderId="9" xfId="14" applyFont="1" applyBorder="1">
      <alignment vertical="center"/>
    </xf>
    <xf numFmtId="0" fontId="22" fillId="0" borderId="4" xfId="10" applyFont="1" applyBorder="1" applyAlignment="1">
      <alignment vertical="center" wrapText="1"/>
    </xf>
    <xf numFmtId="0" fontId="22" fillId="4" borderId="4" xfId="14" applyFont="1" applyFill="1" applyBorder="1" applyAlignment="1">
      <alignment horizontal="center" vertical="center" wrapText="1"/>
    </xf>
    <xf numFmtId="0" fontId="22" fillId="0" borderId="0" xfId="10" applyFont="1" applyAlignment="1">
      <alignment horizontal="centerContinuous" vertical="center"/>
    </xf>
    <xf numFmtId="0" fontId="17" fillId="0" borderId="0" xfId="10" applyFont="1" applyAlignment="1">
      <alignment horizontal="centerContinuous" vertical="center"/>
    </xf>
    <xf numFmtId="0" fontId="22" fillId="4" borderId="4" xfId="10" quotePrefix="1" applyFont="1" applyFill="1" applyBorder="1" applyAlignment="1">
      <alignment horizontal="center" vertical="center" wrapText="1"/>
    </xf>
    <xf numFmtId="0" fontId="22" fillId="4" borderId="4" xfId="10" applyFont="1" applyFill="1" applyBorder="1" applyAlignment="1">
      <alignment horizontal="left" vertical="center" wrapText="1"/>
    </xf>
    <xf numFmtId="0" fontId="22" fillId="4" borderId="4" xfId="10" applyFont="1" applyFill="1" applyBorder="1" applyAlignment="1">
      <alignment horizontal="center" vertical="center"/>
    </xf>
    <xf numFmtId="0" fontId="17" fillId="4" borderId="4" xfId="14" applyFont="1" applyFill="1" applyBorder="1">
      <alignment vertical="center"/>
    </xf>
    <xf numFmtId="0" fontId="17" fillId="4" borderId="4" xfId="10" applyFont="1" applyFill="1" applyBorder="1" applyAlignment="1">
      <alignment horizontal="center" vertical="center"/>
    </xf>
    <xf numFmtId="0" fontId="17" fillId="4" borderId="4" xfId="10" applyFont="1" applyFill="1" applyBorder="1" applyAlignment="1">
      <alignment vertical="center" wrapText="1"/>
    </xf>
    <xf numFmtId="0" fontId="22" fillId="4" borderId="4" xfId="10" applyFont="1" applyFill="1" applyBorder="1" applyAlignment="1">
      <alignment vertical="center" wrapText="1"/>
    </xf>
    <xf numFmtId="0" fontId="17" fillId="4" borderId="4" xfId="10" applyFont="1" applyFill="1" applyBorder="1" applyAlignment="1">
      <alignment vertical="center"/>
    </xf>
    <xf numFmtId="0" fontId="22" fillId="4" borderId="0" xfId="10" applyFont="1" applyFill="1" applyAlignment="1">
      <alignment vertical="center"/>
    </xf>
    <xf numFmtId="0" fontId="17" fillId="4" borderId="0" xfId="10" applyFont="1" applyFill="1" applyAlignment="1">
      <alignment vertical="center"/>
    </xf>
    <xf numFmtId="166" fontId="17" fillId="0" borderId="0" xfId="10" applyNumberFormat="1" applyFont="1" applyAlignment="1">
      <alignment vertical="center"/>
    </xf>
    <xf numFmtId="0" fontId="22" fillId="0" borderId="0" xfId="14" applyFont="1" applyAlignment="1">
      <alignment horizontal="left" vertical="center" wrapText="1"/>
    </xf>
    <xf numFmtId="0" fontId="24" fillId="0" borderId="0" xfId="10" applyFont="1" applyAlignment="1">
      <alignment horizontal="left" vertical="center"/>
    </xf>
    <xf numFmtId="0" fontId="17" fillId="0" borderId="0" xfId="0" applyFont="1" applyAlignment="1">
      <alignment vertical="center"/>
    </xf>
    <xf numFmtId="0" fontId="22" fillId="0" borderId="4" xfId="0" applyFont="1" applyBorder="1" applyAlignment="1">
      <alignment horizontal="center" vertical="center"/>
    </xf>
    <xf numFmtId="0" fontId="17" fillId="0" borderId="4" xfId="0" applyFont="1" applyBorder="1" applyAlignment="1">
      <alignment horizontal="center" vertical="center"/>
    </xf>
    <xf numFmtId="0" fontId="22" fillId="0" borderId="4" xfId="0" applyFont="1" applyBorder="1" applyAlignment="1">
      <alignment vertical="center"/>
    </xf>
    <xf numFmtId="0" fontId="17" fillId="0" borderId="4" xfId="0" applyFont="1" applyBorder="1" applyAlignment="1">
      <alignment vertical="center" wrapText="1"/>
    </xf>
    <xf numFmtId="0" fontId="25" fillId="0" borderId="4" xfId="0" applyFont="1" applyBorder="1" applyAlignment="1">
      <alignment vertical="center"/>
    </xf>
    <xf numFmtId="0" fontId="25" fillId="0" borderId="7" xfId="0" applyFont="1" applyBorder="1" applyAlignment="1">
      <alignment vertical="center"/>
    </xf>
    <xf numFmtId="0" fontId="26" fillId="0" borderId="4" xfId="0" applyFont="1" applyBorder="1" applyAlignment="1">
      <alignment horizontal="center" vertical="center"/>
    </xf>
    <xf numFmtId="0" fontId="25" fillId="0" borderId="4" xfId="0" applyFont="1" applyBorder="1" applyAlignment="1">
      <alignment horizontal="center" vertical="center"/>
    </xf>
    <xf numFmtId="0" fontId="25" fillId="0" borderId="7" xfId="0" applyFont="1" applyBorder="1" applyAlignment="1">
      <alignment horizontal="center" vertical="center"/>
    </xf>
    <xf numFmtId="0" fontId="27" fillId="0" borderId="0" xfId="10" applyFont="1" applyAlignment="1">
      <alignment vertical="center"/>
    </xf>
    <xf numFmtId="16" fontId="22" fillId="0" borderId="4" xfId="10" applyNumberFormat="1" applyFont="1" applyBorder="1" applyAlignment="1">
      <alignment horizontal="center" vertical="center" wrapText="1"/>
    </xf>
    <xf numFmtId="0" fontId="22" fillId="0" borderId="8" xfId="0" applyFont="1" applyBorder="1" applyAlignment="1">
      <alignment horizontal="center" vertical="center" wrapText="1"/>
    </xf>
    <xf numFmtId="0" fontId="22" fillId="0" borderId="8" xfId="0" applyFont="1" applyBorder="1" applyAlignment="1">
      <alignment horizontal="center" vertical="center"/>
    </xf>
    <xf numFmtId="0" fontId="17" fillId="0" borderId="8" xfId="0" applyFont="1" applyBorder="1" applyAlignment="1">
      <alignment horizontal="center" vertical="center" wrapText="1"/>
    </xf>
    <xf numFmtId="0" fontId="17" fillId="0" borderId="8" xfId="0" applyFont="1" applyBorder="1" applyAlignment="1">
      <alignment vertical="center" wrapText="1"/>
    </xf>
    <xf numFmtId="2" fontId="17" fillId="0" borderId="4" xfId="0" applyNumberFormat="1" applyFont="1" applyBorder="1" applyAlignment="1">
      <alignment vertical="center"/>
    </xf>
    <xf numFmtId="0" fontId="17" fillId="0" borderId="4" xfId="0" applyFont="1" applyBorder="1" applyAlignment="1">
      <alignment horizontal="center" vertical="center" wrapText="1"/>
    </xf>
    <xf numFmtId="1" fontId="17" fillId="0" borderId="4" xfId="0" applyNumberFormat="1" applyFont="1" applyBorder="1" applyAlignment="1">
      <alignment vertical="center"/>
    </xf>
    <xf numFmtId="0" fontId="22" fillId="0" borderId="9" xfId="0" applyFont="1" applyBorder="1" applyAlignment="1">
      <alignment vertical="center" wrapText="1"/>
    </xf>
    <xf numFmtId="2" fontId="22" fillId="0" borderId="4" xfId="0" applyNumberFormat="1" applyFont="1" applyBorder="1" applyAlignment="1">
      <alignment vertical="center"/>
    </xf>
    <xf numFmtId="0" fontId="22" fillId="0" borderId="4" xfId="0" applyFont="1" applyBorder="1" applyAlignment="1">
      <alignment vertical="center" wrapText="1"/>
    </xf>
    <xf numFmtId="2" fontId="17" fillId="0" borderId="4" xfId="10" applyNumberFormat="1" applyFont="1" applyBorder="1" applyAlignment="1">
      <alignment horizontal="center" vertical="center"/>
    </xf>
    <xf numFmtId="2" fontId="22" fillId="6" borderId="4" xfId="0" applyNumberFormat="1" applyFont="1" applyFill="1" applyBorder="1" applyAlignment="1">
      <alignment vertical="center"/>
    </xf>
    <xf numFmtId="2" fontId="22" fillId="0" borderId="4" xfId="10" applyNumberFormat="1" applyFont="1" applyBorder="1" applyAlignment="1">
      <alignment horizontal="center" vertical="center" wrapText="1"/>
    </xf>
    <xf numFmtId="2" fontId="17" fillId="0" borderId="4" xfId="10" applyNumberFormat="1" applyFont="1" applyBorder="1" applyAlignment="1">
      <alignment horizontal="center" vertical="center" wrapText="1"/>
    </xf>
    <xf numFmtId="2" fontId="22" fillId="6" borderId="4" xfId="14" applyNumberFormat="1" applyFont="1" applyFill="1" applyBorder="1">
      <alignment vertical="center"/>
    </xf>
    <xf numFmtId="2" fontId="22" fillId="6" borderId="4" xfId="10" applyNumberFormat="1" applyFont="1" applyFill="1" applyBorder="1" applyAlignment="1">
      <alignment vertical="center"/>
    </xf>
    <xf numFmtId="2" fontId="22" fillId="6" borderId="9" xfId="14" applyNumberFormat="1" applyFont="1" applyFill="1" applyBorder="1">
      <alignment vertical="center"/>
    </xf>
    <xf numFmtId="10" fontId="22" fillId="6" borderId="13" xfId="67" applyNumberFormat="1" applyFont="1" applyFill="1" applyBorder="1" applyAlignment="1">
      <alignment horizontal="center" vertical="center"/>
    </xf>
    <xf numFmtId="10" fontId="17" fillId="0" borderId="9" xfId="14" applyNumberFormat="1" applyFont="1" applyBorder="1">
      <alignment vertical="center"/>
    </xf>
    <xf numFmtId="2" fontId="17" fillId="0" borderId="9" xfId="14" applyNumberFormat="1" applyFont="1" applyBorder="1">
      <alignment vertical="center"/>
    </xf>
    <xf numFmtId="10" fontId="17" fillId="0" borderId="4" xfId="10" applyNumberFormat="1" applyFont="1" applyBorder="1" applyAlignment="1">
      <alignment vertical="center"/>
    </xf>
    <xf numFmtId="2" fontId="17" fillId="0" borderId="4" xfId="10" applyNumberFormat="1" applyFont="1" applyBorder="1" applyAlignment="1">
      <alignment vertical="center"/>
    </xf>
    <xf numFmtId="2" fontId="17" fillId="0" borderId="4" xfId="14" applyNumberFormat="1" applyFont="1" applyBorder="1" applyAlignment="1">
      <alignment horizontal="center" vertical="center"/>
    </xf>
    <xf numFmtId="2" fontId="22" fillId="6" borderId="4" xfId="14" applyNumberFormat="1" applyFont="1" applyFill="1" applyBorder="1" applyAlignment="1">
      <alignment horizontal="center" vertical="center"/>
    </xf>
    <xf numFmtId="10" fontId="22" fillId="6" borderId="4" xfId="14" applyNumberFormat="1" applyFont="1" applyFill="1" applyBorder="1">
      <alignment vertical="center"/>
    </xf>
    <xf numFmtId="2" fontId="22" fillId="6" borderId="4" xfId="10" applyNumberFormat="1" applyFont="1" applyFill="1" applyBorder="1"/>
    <xf numFmtId="2" fontId="17" fillId="0" borderId="4" xfId="10" applyNumberFormat="1" applyFont="1" applyBorder="1" applyAlignment="1">
      <alignment horizontal="right" vertical="center"/>
    </xf>
    <xf numFmtId="2" fontId="22" fillId="0" borderId="4" xfId="14" applyNumberFormat="1" applyFont="1" applyBorder="1" applyAlignment="1">
      <alignment horizontal="center" vertical="center"/>
    </xf>
    <xf numFmtId="0" fontId="17" fillId="0" borderId="4" xfId="14" applyFont="1" applyBorder="1" applyAlignment="1">
      <alignment horizontal="right" vertical="center"/>
    </xf>
    <xf numFmtId="2" fontId="17" fillId="0" borderId="4" xfId="14" applyNumberFormat="1" applyFont="1" applyBorder="1" applyAlignment="1">
      <alignment horizontal="right" vertical="center"/>
    </xf>
    <xf numFmtId="0" fontId="17" fillId="0" borderId="4" xfId="10" applyFont="1" applyBorder="1" applyAlignment="1">
      <alignment horizontal="right" vertical="center" wrapText="1"/>
    </xf>
    <xf numFmtId="2" fontId="17" fillId="0" borderId="4" xfId="10" applyNumberFormat="1" applyFont="1" applyBorder="1" applyAlignment="1">
      <alignment horizontal="right" vertical="center" wrapText="1"/>
    </xf>
    <xf numFmtId="0" fontId="17" fillId="0" borderId="9" xfId="14" applyFont="1" applyBorder="1" applyAlignment="1">
      <alignment horizontal="right" vertical="center"/>
    </xf>
    <xf numFmtId="2" fontId="22" fillId="6" borderId="9" xfId="14" applyNumberFormat="1" applyFont="1" applyFill="1" applyBorder="1" applyAlignment="1">
      <alignment horizontal="right" vertical="center"/>
    </xf>
    <xf numFmtId="2" fontId="17" fillId="6" borderId="9" xfId="14" applyNumberFormat="1" applyFont="1" applyFill="1" applyBorder="1">
      <alignment vertical="center"/>
    </xf>
    <xf numFmtId="0" fontId="22" fillId="0" borderId="3" xfId="14" applyFont="1" applyBorder="1" applyAlignment="1">
      <alignment horizontal="center" vertical="center" wrapText="1"/>
    </xf>
    <xf numFmtId="0" fontId="22" fillId="0" borderId="9" xfId="0" applyFont="1" applyBorder="1" applyAlignment="1">
      <alignment horizontal="center" vertical="center"/>
    </xf>
    <xf numFmtId="2" fontId="22" fillId="0" borderId="4" xfId="10" applyNumberFormat="1" applyFont="1" applyBorder="1" applyAlignment="1">
      <alignment vertical="top" wrapText="1"/>
    </xf>
    <xf numFmtId="2" fontId="22" fillId="0" borderId="4" xfId="14" applyNumberFormat="1" applyFont="1" applyBorder="1">
      <alignment vertical="center"/>
    </xf>
    <xf numFmtId="169" fontId="17" fillId="0" borderId="4" xfId="0" applyNumberFormat="1" applyFont="1" applyBorder="1" applyAlignment="1">
      <alignment vertical="center"/>
    </xf>
    <xf numFmtId="170" fontId="22" fillId="6" borderId="4" xfId="0" applyNumberFormat="1" applyFont="1" applyFill="1" applyBorder="1" applyAlignment="1">
      <alignment vertical="center"/>
    </xf>
    <xf numFmtId="170" fontId="17" fillId="0" borderId="4" xfId="0" applyNumberFormat="1" applyFont="1" applyBorder="1" applyAlignment="1">
      <alignment vertical="center"/>
    </xf>
    <xf numFmtId="10" fontId="17" fillId="0" borderId="0" xfId="14" applyNumberFormat="1" applyFont="1">
      <alignment vertical="center"/>
    </xf>
    <xf numFmtId="2" fontId="17" fillId="6" borderId="4" xfId="10" applyNumberFormat="1" applyFont="1" applyFill="1" applyBorder="1" applyAlignment="1">
      <alignment horizontal="right" vertical="center"/>
    </xf>
    <xf numFmtId="2" fontId="17" fillId="6" borderId="4" xfId="10" applyNumberFormat="1" applyFont="1" applyFill="1" applyBorder="1" applyAlignment="1">
      <alignment horizontal="right" vertical="center" wrapText="1"/>
    </xf>
    <xf numFmtId="2" fontId="22" fillId="6" borderId="4" xfId="10" applyNumberFormat="1" applyFont="1" applyFill="1" applyBorder="1" applyAlignment="1">
      <alignment horizontal="right" vertical="center"/>
    </xf>
    <xf numFmtId="2" fontId="17" fillId="0" borderId="0" xfId="14" applyNumberFormat="1" applyFont="1">
      <alignment vertical="center"/>
    </xf>
    <xf numFmtId="171" fontId="17" fillId="0" borderId="0" xfId="14" applyNumberFormat="1" applyFont="1">
      <alignment vertical="center"/>
    </xf>
    <xf numFmtId="1" fontId="17" fillId="0" borderId="0" xfId="14" applyNumberFormat="1" applyFont="1">
      <alignment vertical="center"/>
    </xf>
    <xf numFmtId="4" fontId="17" fillId="0" borderId="0" xfId="10" applyNumberFormat="1" applyFont="1" applyAlignment="1">
      <alignment vertical="center"/>
    </xf>
    <xf numFmtId="0" fontId="17" fillId="0" borderId="4" xfId="0" applyFont="1" applyBorder="1"/>
    <xf numFmtId="164" fontId="17" fillId="0" borderId="4" xfId="70" applyFont="1" applyBorder="1"/>
    <xf numFmtId="164" fontId="25" fillId="0" borderId="4" xfId="70" applyFont="1" applyBorder="1"/>
    <xf numFmtId="10" fontId="25" fillId="0" borderId="4" xfId="0" applyNumberFormat="1" applyFont="1" applyBorder="1"/>
    <xf numFmtId="164" fontId="17" fillId="0" borderId="4" xfId="70" applyFont="1" applyBorder="1" applyAlignment="1">
      <alignment horizontal="center" vertical="center"/>
    </xf>
    <xf numFmtId="164" fontId="17" fillId="0" borderId="4" xfId="70" applyFont="1" applyBorder="1" applyAlignment="1">
      <alignment vertical="center"/>
    </xf>
    <xf numFmtId="164" fontId="0" fillId="0" borderId="4" xfId="70" applyFont="1" applyBorder="1"/>
    <xf numFmtId="0" fontId="32" fillId="0" borderId="8" xfId="10" applyFont="1" applyBorder="1" applyAlignment="1">
      <alignment horizontal="center" vertical="center" wrapText="1"/>
    </xf>
    <xf numFmtId="0" fontId="32" fillId="0" borderId="4" xfId="10" applyFont="1" applyBorder="1" applyAlignment="1">
      <alignment vertical="center" wrapText="1"/>
    </xf>
    <xf numFmtId="0" fontId="32" fillId="0" borderId="4" xfId="10" applyFont="1" applyBorder="1" applyAlignment="1">
      <alignment horizontal="center" vertical="center" wrapText="1"/>
    </xf>
    <xf numFmtId="0" fontId="22" fillId="0" borderId="18" xfId="10" applyFont="1" applyBorder="1" applyAlignment="1">
      <alignment vertical="center" wrapText="1"/>
    </xf>
    <xf numFmtId="2" fontId="17" fillId="0" borderId="0" xfId="10" applyNumberFormat="1" applyFont="1" applyAlignment="1">
      <alignment horizontal="left" vertical="center"/>
    </xf>
    <xf numFmtId="2" fontId="22" fillId="6" borderId="13" xfId="19" applyNumberFormat="1" applyFont="1" applyFill="1" applyBorder="1" applyAlignment="1">
      <alignment horizontal="right" vertical="center"/>
    </xf>
    <xf numFmtId="10" fontId="22" fillId="6" borderId="13" xfId="67" applyNumberFormat="1" applyFont="1" applyFill="1" applyBorder="1" applyAlignment="1">
      <alignment horizontal="right" vertical="center"/>
    </xf>
    <xf numFmtId="164" fontId="17" fillId="0" borderId="0" xfId="10" applyNumberFormat="1" applyFont="1" applyAlignment="1">
      <alignment vertical="center"/>
    </xf>
    <xf numFmtId="0" fontId="17" fillId="4" borderId="12" xfId="67" applyFont="1" applyFill="1" applyBorder="1" applyAlignment="1">
      <alignment horizontal="right" vertical="center"/>
    </xf>
    <xf numFmtId="0" fontId="22" fillId="4" borderId="13" xfId="67" applyFont="1" applyFill="1" applyBorder="1" applyAlignment="1">
      <alignment horizontal="right" vertical="center"/>
    </xf>
    <xf numFmtId="0" fontId="9" fillId="0" borderId="4" xfId="14" applyFont="1" applyBorder="1" applyAlignment="1">
      <alignment vertical="center" wrapText="1"/>
    </xf>
    <xf numFmtId="2" fontId="22" fillId="6" borderId="4" xfId="14" applyNumberFormat="1" applyFont="1" applyFill="1" applyBorder="1" applyAlignment="1">
      <alignment horizontal="right" vertical="center"/>
    </xf>
    <xf numFmtId="2" fontId="22" fillId="5" borderId="4" xfId="14" applyNumberFormat="1" applyFont="1" applyFill="1" applyBorder="1" applyAlignment="1">
      <alignment horizontal="right" vertical="center"/>
    </xf>
    <xf numFmtId="2" fontId="22" fillId="0" borderId="4" xfId="14" applyNumberFormat="1" applyFont="1" applyBorder="1" applyAlignment="1">
      <alignment horizontal="right" vertical="center"/>
    </xf>
    <xf numFmtId="170" fontId="22" fillId="6" borderId="4" xfId="14" applyNumberFormat="1" applyFont="1" applyFill="1" applyBorder="1" applyAlignment="1">
      <alignment horizontal="right" vertical="center"/>
    </xf>
    <xf numFmtId="2" fontId="22" fillId="6" borderId="18" xfId="14" applyNumberFormat="1" applyFont="1" applyFill="1" applyBorder="1" applyAlignment="1">
      <alignment horizontal="right" vertical="center"/>
    </xf>
    <xf numFmtId="176" fontId="17" fillId="0" borderId="9" xfId="38" applyNumberFormat="1" applyFont="1" applyBorder="1" applyAlignment="1">
      <alignment vertical="center"/>
    </xf>
    <xf numFmtId="176" fontId="17" fillId="0" borderId="9" xfId="14" applyNumberFormat="1" applyFont="1" applyBorder="1">
      <alignment vertical="center"/>
    </xf>
    <xf numFmtId="176" fontId="22" fillId="6" borderId="9" xfId="14" applyNumberFormat="1" applyFont="1" applyFill="1" applyBorder="1">
      <alignment vertical="center"/>
    </xf>
    <xf numFmtId="176" fontId="22" fillId="0" borderId="9" xfId="14" applyNumberFormat="1" applyFont="1" applyBorder="1">
      <alignment vertical="center"/>
    </xf>
    <xf numFmtId="176" fontId="17" fillId="0" borderId="4" xfId="10" applyNumberFormat="1" applyFont="1" applyBorder="1" applyAlignment="1">
      <alignment horizontal="left" vertical="center"/>
    </xf>
    <xf numFmtId="176" fontId="17" fillId="0" borderId="4" xfId="14" applyNumberFormat="1" applyFont="1" applyBorder="1">
      <alignment vertical="center"/>
    </xf>
    <xf numFmtId="0" fontId="22" fillId="0" borderId="18" xfId="14" applyFont="1" applyBorder="1" applyAlignment="1">
      <alignment horizontal="center" vertical="center" wrapText="1"/>
    </xf>
    <xf numFmtId="0" fontId="22" fillId="0" borderId="18" xfId="14" applyFont="1" applyBorder="1" applyAlignment="1">
      <alignment horizontal="left" vertical="center" wrapText="1"/>
    </xf>
    <xf numFmtId="0" fontId="22" fillId="0" borderId="18" xfId="10" applyFont="1" applyBorder="1" applyAlignment="1">
      <alignment vertical="center"/>
    </xf>
    <xf numFmtId="0" fontId="33" fillId="0" borderId="18" xfId="14" applyFont="1" applyBorder="1" applyAlignment="1">
      <alignment horizontal="center" vertical="center" wrapText="1"/>
    </xf>
    <xf numFmtId="0" fontId="22" fillId="0" borderId="18" xfId="14" applyFont="1" applyBorder="1" applyAlignment="1">
      <alignment vertical="center" wrapText="1"/>
    </xf>
    <xf numFmtId="0" fontId="0" fillId="0" borderId="18" xfId="0" applyBorder="1"/>
    <xf numFmtId="0" fontId="17" fillId="0" borderId="18" xfId="10" applyFont="1" applyBorder="1" applyAlignment="1">
      <alignment horizontal="center" vertical="center"/>
    </xf>
    <xf numFmtId="2" fontId="22" fillId="0" borderId="4" xfId="14" applyNumberFormat="1" applyFont="1" applyBorder="1" applyAlignment="1">
      <alignment horizontal="right" vertical="center" wrapText="1"/>
    </xf>
    <xf numFmtId="2" fontId="17" fillId="0" borderId="4" xfId="14" applyNumberFormat="1" applyFont="1" applyBorder="1" applyAlignment="1">
      <alignment horizontal="right" vertical="center" wrapText="1"/>
    </xf>
    <xf numFmtId="0" fontId="17" fillId="4" borderId="18" xfId="67" applyFont="1" applyFill="1" applyBorder="1" applyAlignment="1">
      <alignment horizontal="center" vertical="center"/>
    </xf>
    <xf numFmtId="0" fontId="17" fillId="4" borderId="18" xfId="67" applyFont="1" applyFill="1" applyBorder="1" applyAlignment="1">
      <alignment horizontal="left" vertical="center"/>
    </xf>
    <xf numFmtId="164" fontId="17" fillId="4" borderId="18" xfId="70" applyFont="1" applyFill="1" applyBorder="1" applyAlignment="1">
      <alignment horizontal="right" vertical="center"/>
    </xf>
    <xf numFmtId="164" fontId="34" fillId="7" borderId="18" xfId="94" applyFont="1" applyFill="1" applyBorder="1"/>
    <xf numFmtId="0" fontId="31" fillId="0" borderId="0" xfId="10" applyFont="1" applyAlignment="1">
      <alignment horizontal="left" vertical="center"/>
    </xf>
    <xf numFmtId="0" fontId="32" fillId="0" borderId="0" xfId="10" applyFont="1" applyAlignment="1">
      <alignment vertical="center"/>
    </xf>
    <xf numFmtId="0" fontId="31" fillId="0" borderId="0" xfId="10" applyFont="1" applyAlignment="1">
      <alignment vertical="center"/>
    </xf>
    <xf numFmtId="0" fontId="31" fillId="0" borderId="0" xfId="10" applyFont="1" applyAlignment="1">
      <alignment horizontal="center" vertical="center"/>
    </xf>
    <xf numFmtId="0" fontId="31" fillId="0" borderId="0" xfId="14" applyFont="1" applyAlignment="1">
      <alignment horizontal="right" vertical="center"/>
    </xf>
    <xf numFmtId="0" fontId="32" fillId="0" borderId="0" xfId="14" applyFont="1">
      <alignment vertical="center"/>
    </xf>
    <xf numFmtId="0" fontId="31" fillId="0" borderId="4" xfId="14" applyFont="1" applyBorder="1" applyAlignment="1">
      <alignment horizontal="center" vertical="center" wrapText="1"/>
    </xf>
    <xf numFmtId="0" fontId="32" fillId="0" borderId="7" xfId="10" applyFont="1" applyBorder="1" applyAlignment="1">
      <alignment horizontal="center" vertical="center"/>
    </xf>
    <xf numFmtId="0" fontId="32" fillId="0" borderId="4" xfId="10" applyFont="1" applyBorder="1" applyAlignment="1">
      <alignment vertical="center"/>
    </xf>
    <xf numFmtId="0" fontId="32" fillId="0" borderId="4" xfId="14" applyFont="1" applyBorder="1" applyAlignment="1">
      <alignment horizontal="center" vertical="center"/>
    </xf>
    <xf numFmtId="2" fontId="32" fillId="0" borderId="4" xfId="10" applyNumberFormat="1" applyFont="1" applyBorder="1" applyAlignment="1">
      <alignment vertical="center"/>
    </xf>
    <xf numFmtId="2" fontId="32" fillId="0" borderId="4" xfId="10" applyNumberFormat="1" applyFont="1" applyBorder="1" applyAlignment="1">
      <alignment horizontal="right" vertical="center"/>
    </xf>
    <xf numFmtId="2" fontId="32" fillId="0" borderId="4" xfId="10" applyNumberFormat="1" applyFont="1" applyBorder="1" applyAlignment="1">
      <alignment horizontal="right" vertical="center" wrapText="1"/>
    </xf>
    <xf numFmtId="0" fontId="32" fillId="0" borderId="4" xfId="10" applyFont="1" applyBorder="1" applyAlignment="1">
      <alignment horizontal="center" vertical="center"/>
    </xf>
    <xf numFmtId="0" fontId="32" fillId="0" borderId="4" xfId="10" applyFont="1" applyBorder="1" applyAlignment="1">
      <alignment horizontal="left" vertical="center"/>
    </xf>
    <xf numFmtId="2" fontId="32" fillId="0" borderId="9" xfId="14" applyNumberFormat="1" applyFont="1" applyBorder="1">
      <alignment vertical="center"/>
    </xf>
    <xf numFmtId="2" fontId="32" fillId="0" borderId="9" xfId="14" applyNumberFormat="1" applyFont="1" applyBorder="1" applyAlignment="1">
      <alignment horizontal="right" vertical="center"/>
    </xf>
    <xf numFmtId="0" fontId="32" fillId="0" borderId="4" xfId="10" applyFont="1" applyBorder="1" applyAlignment="1">
      <alignment horizontal="left" vertical="center" wrapText="1"/>
    </xf>
    <xf numFmtId="0" fontId="32" fillId="0" borderId="9" xfId="14" applyFont="1" applyBorder="1">
      <alignment vertical="center"/>
    </xf>
    <xf numFmtId="0" fontId="32" fillId="0" borderId="4" xfId="14" applyFont="1" applyBorder="1">
      <alignment vertical="center"/>
    </xf>
    <xf numFmtId="2" fontId="31" fillId="6" borderId="9" xfId="14" applyNumberFormat="1" applyFont="1" applyFill="1" applyBorder="1">
      <alignment vertical="center"/>
    </xf>
    <xf numFmtId="10" fontId="32" fillId="0" borderId="9" xfId="14" applyNumberFormat="1" applyFont="1" applyBorder="1">
      <alignment vertical="center"/>
    </xf>
    <xf numFmtId="168" fontId="32" fillId="0" borderId="0" xfId="10" applyNumberFormat="1" applyFont="1" applyAlignment="1">
      <alignment vertical="center"/>
    </xf>
    <xf numFmtId="0" fontId="35" fillId="0" borderId="18" xfId="10" applyFont="1" applyBorder="1" applyAlignment="1">
      <alignment horizontal="center" vertical="center" wrapText="1"/>
    </xf>
    <xf numFmtId="2" fontId="35" fillId="0" borderId="18" xfId="10" applyNumberFormat="1" applyFont="1" applyBorder="1" applyAlignment="1">
      <alignment horizontal="center" vertical="center"/>
    </xf>
    <xf numFmtId="2" fontId="35" fillId="0" borderId="18" xfId="10" applyNumberFormat="1" applyFont="1" applyBorder="1" applyAlignment="1">
      <alignment horizontal="right" vertical="center"/>
    </xf>
    <xf numFmtId="2" fontId="36" fillId="0" borderId="18" xfId="10" applyNumberFormat="1" applyFont="1" applyBorder="1" applyAlignment="1">
      <alignment horizontal="right" vertical="center"/>
    </xf>
    <xf numFmtId="2" fontId="35" fillId="0" borderId="18" xfId="10" applyNumberFormat="1" applyFont="1" applyBorder="1" applyAlignment="1">
      <alignment vertical="center"/>
    </xf>
    <xf numFmtId="2" fontId="36" fillId="0" borderId="18" xfId="10" applyNumberFormat="1" applyFont="1" applyBorder="1" applyAlignment="1">
      <alignment vertical="center"/>
    </xf>
    <xf numFmtId="0" fontId="22" fillId="0" borderId="18" xfId="0" applyFont="1" applyBorder="1" applyAlignment="1">
      <alignment horizontal="center" vertical="center"/>
    </xf>
    <xf numFmtId="0" fontId="14" fillId="0" borderId="18" xfId="0" applyFont="1" applyBorder="1" applyAlignment="1">
      <alignment horizontal="center" vertical="center"/>
    </xf>
    <xf numFmtId="0" fontId="22" fillId="0" borderId="18" xfId="0" applyFont="1" applyBorder="1" applyAlignment="1">
      <alignment vertical="center"/>
    </xf>
    <xf numFmtId="0" fontId="17" fillId="0" borderId="6" xfId="0" applyFont="1" applyBorder="1" applyAlignment="1">
      <alignment horizontal="center" vertical="center"/>
    </xf>
    <xf numFmtId="0" fontId="17" fillId="0" borderId="18" xfId="0" applyFont="1" applyBorder="1" applyAlignment="1">
      <alignment vertical="center"/>
    </xf>
    <xf numFmtId="0" fontId="17" fillId="0" borderId="18" xfId="0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2" fontId="10" fillId="0" borderId="18" xfId="0" applyNumberFormat="1" applyFont="1" applyBorder="1" applyAlignment="1">
      <alignment horizontal="center"/>
    </xf>
    <xf numFmtId="2" fontId="0" fillId="0" borderId="18" xfId="0" applyNumberFormat="1" applyBorder="1" applyAlignment="1">
      <alignment horizontal="center"/>
    </xf>
    <xf numFmtId="2" fontId="0" fillId="0" borderId="18" xfId="0" applyNumberFormat="1" applyBorder="1" applyAlignment="1">
      <alignment horizontal="center" vertical="center"/>
    </xf>
    <xf numFmtId="2" fontId="10" fillId="0" borderId="18" xfId="0" applyNumberFormat="1" applyFont="1" applyBorder="1" applyAlignment="1">
      <alignment vertical="center"/>
    </xf>
    <xf numFmtId="2" fontId="0" fillId="0" borderId="18" xfId="0" applyNumberFormat="1" applyBorder="1"/>
    <xf numFmtId="1" fontId="10" fillId="0" borderId="18" xfId="0" applyNumberFormat="1" applyFont="1" applyBorder="1" applyAlignment="1">
      <alignment vertical="center"/>
    </xf>
    <xf numFmtId="0" fontId="10" fillId="0" borderId="18" xfId="0" applyFont="1" applyBorder="1" applyAlignment="1">
      <alignment vertical="center"/>
    </xf>
    <xf numFmtId="1" fontId="10" fillId="0" borderId="8" xfId="0" applyNumberFormat="1" applyFont="1" applyBorder="1" applyAlignment="1">
      <alignment vertical="center"/>
    </xf>
    <xf numFmtId="0" fontId="10" fillId="0" borderId="8" xfId="0" applyFont="1" applyBorder="1" applyAlignment="1">
      <alignment vertical="center"/>
    </xf>
    <xf numFmtId="0" fontId="0" fillId="0" borderId="8" xfId="0" applyBorder="1"/>
    <xf numFmtId="0" fontId="22" fillId="0" borderId="0" xfId="0" applyFont="1" applyAlignment="1">
      <alignment vertical="center"/>
    </xf>
    <xf numFmtId="0" fontId="0" fillId="0" borderId="18" xfId="0" applyBorder="1" applyAlignment="1">
      <alignment horizontal="center"/>
    </xf>
    <xf numFmtId="2" fontId="0" fillId="0" borderId="9" xfId="0" applyNumberFormat="1" applyBorder="1" applyAlignment="1">
      <alignment horizontal="center"/>
    </xf>
    <xf numFmtId="0" fontId="17" fillId="0" borderId="0" xfId="0" applyFont="1" applyAlignment="1">
      <alignment horizontal="center" vertical="center"/>
    </xf>
    <xf numFmtId="0" fontId="10" fillId="0" borderId="18" xfId="0" applyFont="1" applyBorder="1" applyAlignment="1">
      <alignment horizontal="center" vertical="center"/>
    </xf>
    <xf numFmtId="2" fontId="22" fillId="6" borderId="18" xfId="0" applyNumberFormat="1" applyFont="1" applyFill="1" applyBorder="1" applyAlignment="1">
      <alignment vertical="center"/>
    </xf>
    <xf numFmtId="2" fontId="17" fillId="0" borderId="18" xfId="0" applyNumberFormat="1" applyFont="1" applyBorder="1" applyAlignment="1">
      <alignment vertical="center"/>
    </xf>
    <xf numFmtId="0" fontId="17" fillId="0" borderId="18" xfId="0" applyFont="1" applyBorder="1" applyAlignment="1">
      <alignment vertical="center" wrapText="1"/>
    </xf>
    <xf numFmtId="2" fontId="22" fillId="6" borderId="18" xfId="0" applyNumberFormat="1" applyFont="1" applyFill="1" applyBorder="1" applyAlignment="1">
      <alignment horizontal="center" vertical="center"/>
    </xf>
    <xf numFmtId="2" fontId="17" fillId="0" borderId="18" xfId="0" applyNumberFormat="1" applyFont="1" applyBorder="1" applyAlignment="1">
      <alignment horizontal="center" vertical="center"/>
    </xf>
    <xf numFmtId="2" fontId="17" fillId="0" borderId="0" xfId="0" applyNumberFormat="1" applyFont="1" applyAlignment="1">
      <alignment horizontal="center" vertical="center"/>
    </xf>
    <xf numFmtId="0" fontId="22" fillId="0" borderId="18" xfId="10" applyFont="1" applyBorder="1" applyAlignment="1">
      <alignment horizontal="center" vertical="center" wrapText="1"/>
    </xf>
    <xf numFmtId="16" fontId="22" fillId="0" borderId="18" xfId="10" applyNumberFormat="1" applyFont="1" applyBorder="1" applyAlignment="1">
      <alignment horizontal="center" vertical="center" wrapText="1"/>
    </xf>
    <xf numFmtId="0" fontId="17" fillId="0" borderId="18" xfId="10" applyFont="1" applyBorder="1" applyAlignment="1">
      <alignment horizontal="center" vertical="center" wrapText="1"/>
    </xf>
    <xf numFmtId="2" fontId="26" fillId="0" borderId="18" xfId="10" applyNumberFormat="1" applyFont="1" applyBorder="1" applyAlignment="1">
      <alignment vertical="center"/>
    </xf>
    <xf numFmtId="0" fontId="26" fillId="0" borderId="18" xfId="10" applyFont="1" applyBorder="1" applyAlignment="1">
      <alignment vertical="center"/>
    </xf>
    <xf numFmtId="0" fontId="17" fillId="0" borderId="18" xfId="10" applyFont="1" applyBorder="1" applyAlignment="1">
      <alignment horizontal="left" vertical="center" wrapText="1"/>
    </xf>
    <xf numFmtId="2" fontId="22" fillId="6" borderId="18" xfId="10" applyNumberFormat="1" applyFont="1" applyFill="1" applyBorder="1" applyAlignment="1">
      <alignment vertical="center"/>
    </xf>
    <xf numFmtId="0" fontId="17" fillId="0" borderId="18" xfId="10" applyFont="1" applyBorder="1" applyAlignment="1">
      <alignment vertical="center"/>
    </xf>
    <xf numFmtId="0" fontId="17" fillId="0" borderId="0" xfId="14" applyFont="1" applyAlignment="1">
      <alignment horizontal="centerContinuous" vertical="center"/>
    </xf>
    <xf numFmtId="0" fontId="17" fillId="0" borderId="18" xfId="14" quotePrefix="1" applyFont="1" applyBorder="1" applyAlignment="1">
      <alignment horizontal="center" vertical="center" wrapText="1"/>
    </xf>
    <xf numFmtId="0" fontId="17" fillId="0" borderId="18" xfId="14" applyFont="1" applyBorder="1" applyAlignment="1">
      <alignment horizontal="center" vertical="center" wrapText="1"/>
    </xf>
    <xf numFmtId="0" fontId="17" fillId="0" borderId="18" xfId="14" applyFont="1" applyBorder="1" applyAlignment="1">
      <alignment horizontal="left" vertical="center" wrapText="1"/>
    </xf>
    <xf numFmtId="0" fontId="37" fillId="0" borderId="18" xfId="14" applyFont="1" applyBorder="1" applyAlignment="1">
      <alignment horizontal="center" vertical="center" wrapText="1"/>
    </xf>
    <xf numFmtId="0" fontId="25" fillId="0" borderId="18" xfId="14" applyFont="1" applyBorder="1" applyAlignment="1">
      <alignment horizontal="center" vertical="center" wrapText="1"/>
    </xf>
    <xf numFmtId="0" fontId="25" fillId="0" borderId="18" xfId="10" applyFont="1" applyBorder="1" applyAlignment="1">
      <alignment vertical="center"/>
    </xf>
    <xf numFmtId="0" fontId="25" fillId="0" borderId="0" xfId="10" applyFont="1" applyAlignment="1">
      <alignment vertical="center"/>
    </xf>
    <xf numFmtId="2" fontId="38" fillId="0" borderId="18" xfId="0" applyNumberFormat="1" applyFont="1" applyBorder="1"/>
    <xf numFmtId="2" fontId="25" fillId="0" borderId="18" xfId="14" applyNumberFormat="1" applyFont="1" applyBorder="1" applyAlignment="1">
      <alignment horizontal="center" vertical="center" wrapText="1"/>
    </xf>
    <xf numFmtId="0" fontId="17" fillId="0" borderId="18" xfId="14" applyFont="1" applyBorder="1" applyAlignment="1">
      <alignment vertical="center" wrapText="1"/>
    </xf>
    <xf numFmtId="0" fontId="17" fillId="0" borderId="0" xfId="14" quotePrefix="1" applyFont="1" applyAlignment="1">
      <alignment horizontal="center" vertical="center" wrapText="1"/>
    </xf>
    <xf numFmtId="0" fontId="17" fillId="0" borderId="0" xfId="10" applyFont="1" applyAlignment="1">
      <alignment horizontal="center" vertical="center" wrapText="1"/>
    </xf>
    <xf numFmtId="0" fontId="17" fillId="0" borderId="0" xfId="10" applyFont="1" applyAlignment="1">
      <alignment horizontal="justify" vertical="center" wrapText="1"/>
    </xf>
    <xf numFmtId="0" fontId="25" fillId="0" borderId="18" xfId="14" applyFont="1" applyBorder="1" applyAlignment="1">
      <alignment horizontal="right" vertical="center" wrapText="1"/>
    </xf>
    <xf numFmtId="0" fontId="25" fillId="0" borderId="18" xfId="10" applyFont="1" applyBorder="1" applyAlignment="1">
      <alignment horizontal="right" vertical="center"/>
    </xf>
    <xf numFmtId="0" fontId="25" fillId="0" borderId="18" xfId="14" quotePrefix="1" applyFont="1" applyBorder="1" applyAlignment="1">
      <alignment horizontal="right" vertical="center" wrapText="1"/>
    </xf>
    <xf numFmtId="4" fontId="25" fillId="0" borderId="18" xfId="14" applyNumberFormat="1" applyFont="1" applyBorder="1" applyAlignment="1">
      <alignment horizontal="center" vertical="center" wrapText="1"/>
    </xf>
    <xf numFmtId="1" fontId="25" fillId="0" borderId="18" xfId="14" applyNumberFormat="1" applyFont="1" applyBorder="1" applyAlignment="1">
      <alignment horizontal="center" vertical="center" wrapText="1"/>
    </xf>
    <xf numFmtId="164" fontId="1" fillId="0" borderId="18" xfId="460" applyFont="1" applyBorder="1"/>
    <xf numFmtId="164" fontId="1" fillId="0" borderId="18" xfId="474" applyNumberFormat="1" applyBorder="1"/>
    <xf numFmtId="164" fontId="1" fillId="0" borderId="18" xfId="481" applyNumberFormat="1" applyBorder="1"/>
    <xf numFmtId="164" fontId="1" fillId="0" borderId="18" xfId="70" applyFont="1" applyBorder="1"/>
    <xf numFmtId="164" fontId="1" fillId="0" borderId="18" xfId="482" applyNumberFormat="1" applyBorder="1"/>
    <xf numFmtId="164" fontId="39" fillId="0" borderId="18" xfId="482" applyNumberFormat="1" applyFont="1" applyBorder="1"/>
    <xf numFmtId="2" fontId="25" fillId="0" borderId="18" xfId="14" applyNumberFormat="1" applyFont="1" applyBorder="1" applyAlignment="1">
      <alignment horizontal="right" vertical="center" wrapText="1"/>
    </xf>
    <xf numFmtId="0" fontId="17" fillId="0" borderId="0" xfId="14" applyFont="1" applyAlignment="1">
      <alignment horizontal="right" vertical="center"/>
    </xf>
    <xf numFmtId="0" fontId="22" fillId="0" borderId="18" xfId="14" applyFont="1" applyBorder="1" applyAlignment="1">
      <alignment horizontal="right" vertical="center" wrapText="1"/>
    </xf>
    <xf numFmtId="0" fontId="17" fillId="0" borderId="18" xfId="10" applyFont="1" applyBorder="1" applyAlignment="1">
      <alignment horizontal="right" vertical="center"/>
    </xf>
    <xf numFmtId="0" fontId="33" fillId="0" borderId="18" xfId="14" applyFont="1" applyBorder="1" applyAlignment="1">
      <alignment horizontal="right" vertical="center" wrapText="1"/>
    </xf>
    <xf numFmtId="0" fontId="37" fillId="0" borderId="18" xfId="14" applyFont="1" applyBorder="1" applyAlignment="1">
      <alignment horizontal="right" vertical="center" wrapText="1"/>
    </xf>
    <xf numFmtId="2" fontId="38" fillId="0" borderId="18" xfId="0" applyNumberFormat="1" applyFont="1" applyBorder="1" applyAlignment="1">
      <alignment horizontal="right"/>
    </xf>
    <xf numFmtId="0" fontId="22" fillId="0" borderId="0" xfId="14" applyFont="1" applyAlignment="1">
      <alignment horizontal="right" vertical="center" wrapText="1"/>
    </xf>
    <xf numFmtId="0" fontId="24" fillId="0" borderId="0" xfId="10" applyFont="1" applyAlignment="1">
      <alignment horizontal="right" vertical="center"/>
    </xf>
    <xf numFmtId="0" fontId="17" fillId="0" borderId="0" xfId="10" applyFont="1" applyAlignment="1">
      <alignment horizontal="right" vertical="center" wrapText="1"/>
    </xf>
    <xf numFmtId="0" fontId="38" fillId="0" borderId="18" xfId="0" applyFont="1" applyBorder="1" applyAlignment="1">
      <alignment horizontal="right"/>
    </xf>
    <xf numFmtId="164" fontId="17" fillId="0" borderId="18" xfId="14" applyNumberFormat="1" applyFont="1" applyBorder="1">
      <alignment vertical="center"/>
    </xf>
    <xf numFmtId="0" fontId="22" fillId="0" borderId="0" xfId="10" applyFont="1" applyAlignment="1">
      <alignment horizontal="centerContinuous" wrapText="1"/>
    </xf>
    <xf numFmtId="0" fontId="17" fillId="0" borderId="0" xfId="14" applyFont="1" applyAlignment="1">
      <alignment vertical="center" wrapText="1"/>
    </xf>
    <xf numFmtId="0" fontId="17" fillId="0" borderId="4" xfId="14" applyFont="1" applyBorder="1" applyAlignment="1">
      <alignment vertical="center" wrapText="1"/>
    </xf>
    <xf numFmtId="0" fontId="22" fillId="0" borderId="4" xfId="10" applyFont="1" applyBorder="1" applyAlignment="1">
      <alignment wrapText="1"/>
    </xf>
    <xf numFmtId="0" fontId="22" fillId="0" borderId="4" xfId="14" applyFont="1" applyBorder="1" applyAlignment="1">
      <alignment vertical="center" wrapText="1"/>
    </xf>
    <xf numFmtId="0" fontId="17" fillId="0" borderId="4" xfId="10" quotePrefix="1" applyFont="1" applyBorder="1" applyAlignment="1">
      <alignment horizontal="left" vertical="top"/>
    </xf>
    <xf numFmtId="0" fontId="17" fillId="0" borderId="4" xfId="10" applyFont="1" applyBorder="1"/>
    <xf numFmtId="170" fontId="17" fillId="0" borderId="0" xfId="10" applyNumberFormat="1" applyFont="1" applyAlignment="1">
      <alignment vertical="center"/>
    </xf>
    <xf numFmtId="0" fontId="22" fillId="0" borderId="18" xfId="0" applyFont="1" applyBorder="1" applyAlignment="1">
      <alignment vertical="center" wrapText="1"/>
    </xf>
    <xf numFmtId="0" fontId="0" fillId="0" borderId="0" xfId="0" applyAlignment="1">
      <alignment wrapText="1"/>
    </xf>
    <xf numFmtId="0" fontId="10" fillId="0" borderId="0" xfId="0" applyFont="1"/>
    <xf numFmtId="2" fontId="17" fillId="0" borderId="0" xfId="10" applyNumberFormat="1" applyFont="1" applyAlignment="1">
      <alignment vertical="center"/>
    </xf>
    <xf numFmtId="0" fontId="36" fillId="0" borderId="18" xfId="10" applyFont="1" applyBorder="1" applyAlignment="1">
      <alignment horizontal="center" vertical="center" wrapText="1"/>
    </xf>
    <xf numFmtId="2" fontId="36" fillId="0" borderId="18" xfId="10" applyNumberFormat="1" applyFont="1" applyBorder="1" applyAlignment="1">
      <alignment horizontal="center" vertical="center"/>
    </xf>
    <xf numFmtId="0" fontId="22" fillId="0" borderId="0" xfId="10" applyFont="1" applyAlignment="1">
      <alignment horizontal="center" vertical="center"/>
    </xf>
    <xf numFmtId="0" fontId="22" fillId="0" borderId="0" xfId="10" applyFont="1" applyAlignment="1">
      <alignment horizontal="left" vertical="center"/>
    </xf>
    <xf numFmtId="0" fontId="22" fillId="0" borderId="18" xfId="14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14" fillId="0" borderId="0" xfId="14" applyFont="1" applyAlignment="1">
      <alignment horizontal="center" vertical="center"/>
    </xf>
    <xf numFmtId="0" fontId="9" fillId="0" borderId="0" xfId="10" applyFont="1" applyAlignment="1">
      <alignment horizontal="center" vertical="center"/>
    </xf>
    <xf numFmtId="0" fontId="14" fillId="0" borderId="0" xfId="10" applyFont="1" applyAlignment="1">
      <alignment horizontal="center" vertical="center" wrapText="1"/>
    </xf>
    <xf numFmtId="0" fontId="9" fillId="0" borderId="0" xfId="10" applyFont="1" applyAlignment="1">
      <alignment horizontal="center" vertical="center" wrapText="1"/>
    </xf>
    <xf numFmtId="0" fontId="22" fillId="0" borderId="8" xfId="14" applyFont="1" applyBorder="1" applyAlignment="1">
      <alignment horizontal="center" vertical="center"/>
    </xf>
    <xf numFmtId="0" fontId="22" fillId="0" borderId="10" xfId="14" applyFont="1" applyBorder="1" applyAlignment="1">
      <alignment horizontal="center" vertical="center"/>
    </xf>
    <xf numFmtId="0" fontId="22" fillId="0" borderId="7" xfId="14" applyFont="1" applyBorder="1" applyAlignment="1">
      <alignment horizontal="center" vertical="center"/>
    </xf>
    <xf numFmtId="0" fontId="22" fillId="0" borderId="8" xfId="14" applyFont="1" applyBorder="1" applyAlignment="1">
      <alignment horizontal="center" vertical="center" wrapText="1"/>
    </xf>
    <xf numFmtId="0" fontId="22" fillId="0" borderId="10" xfId="14" applyFont="1" applyBorder="1" applyAlignment="1">
      <alignment horizontal="center" vertical="center" wrapText="1"/>
    </xf>
    <xf numFmtId="0" fontId="17" fillId="0" borderId="7" xfId="10" applyFont="1" applyBorder="1" applyAlignment="1">
      <alignment horizontal="center" vertical="center" wrapText="1"/>
    </xf>
    <xf numFmtId="0" fontId="22" fillId="0" borderId="4" xfId="14" applyFont="1" applyBorder="1" applyAlignment="1">
      <alignment horizontal="center" vertical="center"/>
    </xf>
    <xf numFmtId="0" fontId="17" fillId="0" borderId="4" xfId="10" applyFont="1" applyBorder="1" applyAlignment="1">
      <alignment horizontal="center" vertical="center"/>
    </xf>
    <xf numFmtId="0" fontId="22" fillId="0" borderId="4" xfId="14" applyFont="1" applyBorder="1" applyAlignment="1">
      <alignment horizontal="center" vertical="center" wrapText="1"/>
    </xf>
    <xf numFmtId="0" fontId="17" fillId="0" borderId="4" xfId="10" applyFont="1" applyBorder="1" applyAlignment="1">
      <alignment horizontal="center" vertical="center" wrapText="1"/>
    </xf>
    <xf numFmtId="0" fontId="22" fillId="0" borderId="6" xfId="14" applyFont="1" applyBorder="1" applyAlignment="1">
      <alignment horizontal="center" vertical="center" wrapText="1"/>
    </xf>
    <xf numFmtId="0" fontId="22" fillId="0" borderId="3" xfId="14" applyFont="1" applyBorder="1" applyAlignment="1">
      <alignment horizontal="center" vertical="center" wrapText="1"/>
    </xf>
    <xf numFmtId="0" fontId="22" fillId="0" borderId="9" xfId="14" applyFont="1" applyBorder="1" applyAlignment="1">
      <alignment horizontal="center" vertical="center" wrapText="1"/>
    </xf>
    <xf numFmtId="0" fontId="22" fillId="0" borderId="0" xfId="10" applyFont="1" applyAlignment="1">
      <alignment horizontal="center" vertical="center"/>
    </xf>
    <xf numFmtId="0" fontId="22" fillId="0" borderId="0" xfId="10" applyFont="1" applyAlignment="1">
      <alignment horizontal="left" vertical="center"/>
    </xf>
    <xf numFmtId="0" fontId="22" fillId="0" borderId="4" xfId="10" applyFont="1" applyBorder="1" applyAlignment="1">
      <alignment horizontal="center" vertical="center" wrapText="1"/>
    </xf>
    <xf numFmtId="0" fontId="22" fillId="0" borderId="8" xfId="10" applyFont="1" applyBorder="1" applyAlignment="1">
      <alignment horizontal="center" vertical="center" wrapText="1"/>
    </xf>
    <xf numFmtId="0" fontId="22" fillId="0" borderId="10" xfId="10" applyFont="1" applyBorder="1" applyAlignment="1">
      <alignment horizontal="center" vertical="center" wrapText="1"/>
    </xf>
    <xf numFmtId="0" fontId="22" fillId="0" borderId="7" xfId="10" applyFont="1" applyBorder="1" applyAlignment="1">
      <alignment horizontal="center" vertical="center" wrapText="1"/>
    </xf>
    <xf numFmtId="0" fontId="17" fillId="0" borderId="4" xfId="10" applyFont="1" applyBorder="1" applyAlignment="1">
      <alignment vertical="center"/>
    </xf>
    <xf numFmtId="0" fontId="22" fillId="0" borderId="4" xfId="10" applyFont="1" applyBorder="1" applyAlignment="1">
      <alignment horizontal="center" vertical="center"/>
    </xf>
    <xf numFmtId="0" fontId="22" fillId="4" borderId="4" xfId="67" applyFont="1" applyFill="1" applyBorder="1" applyAlignment="1">
      <alignment horizontal="center" vertical="center" wrapText="1"/>
    </xf>
    <xf numFmtId="0" fontId="22" fillId="4" borderId="11" xfId="67" applyFont="1" applyFill="1" applyBorder="1" applyAlignment="1">
      <alignment horizontal="center" vertical="center" wrapText="1"/>
    </xf>
    <xf numFmtId="0" fontId="22" fillId="4" borderId="15" xfId="67" applyFont="1" applyFill="1" applyBorder="1" applyAlignment="1">
      <alignment horizontal="center" vertical="center"/>
    </xf>
    <xf numFmtId="0" fontId="22" fillId="4" borderId="16" xfId="67" applyFont="1" applyFill="1" applyBorder="1" applyAlignment="1">
      <alignment horizontal="center" vertical="center"/>
    </xf>
    <xf numFmtId="0" fontId="22" fillId="4" borderId="17" xfId="67" applyFont="1" applyFill="1" applyBorder="1" applyAlignment="1">
      <alignment horizontal="center" vertical="center"/>
    </xf>
    <xf numFmtId="0" fontId="22" fillId="4" borderId="5" xfId="67" applyFont="1" applyFill="1" applyBorder="1" applyAlignment="1">
      <alignment horizontal="center" vertical="center" wrapText="1"/>
    </xf>
    <xf numFmtId="0" fontId="22" fillId="4" borderId="12" xfId="67" applyFont="1" applyFill="1" applyBorder="1" applyAlignment="1">
      <alignment horizontal="center" vertical="center" wrapText="1"/>
    </xf>
    <xf numFmtId="0" fontId="22" fillId="4" borderId="4" xfId="67" quotePrefix="1" applyFont="1" applyFill="1" applyBorder="1" applyAlignment="1">
      <alignment horizontal="center" vertical="center" wrapText="1"/>
    </xf>
    <xf numFmtId="0" fontId="22" fillId="4" borderId="13" xfId="67" quotePrefix="1" applyFont="1" applyFill="1" applyBorder="1" applyAlignment="1">
      <alignment horizontal="center" vertical="center" wrapText="1"/>
    </xf>
    <xf numFmtId="0" fontId="22" fillId="4" borderId="13" xfId="67" applyFont="1" applyFill="1" applyBorder="1" applyAlignment="1">
      <alignment horizontal="center" vertical="center" wrapText="1"/>
    </xf>
    <xf numFmtId="0" fontId="22" fillId="0" borderId="3" xfId="10" applyFont="1" applyBorder="1" applyAlignment="1">
      <alignment horizontal="center" vertical="center"/>
    </xf>
    <xf numFmtId="0" fontId="22" fillId="0" borderId="9" xfId="10" applyFont="1" applyBorder="1" applyAlignment="1">
      <alignment horizontal="center" vertical="center"/>
    </xf>
    <xf numFmtId="0" fontId="31" fillId="0" borderId="6" xfId="14" applyFont="1" applyBorder="1" applyAlignment="1">
      <alignment horizontal="center" vertical="center" wrapText="1"/>
    </xf>
    <xf numFmtId="0" fontId="31" fillId="0" borderId="9" xfId="14" applyFont="1" applyBorder="1" applyAlignment="1">
      <alignment horizontal="center" vertical="center" wrapText="1"/>
    </xf>
    <xf numFmtId="0" fontId="31" fillId="0" borderId="8" xfId="14" applyFont="1" applyBorder="1" applyAlignment="1">
      <alignment horizontal="center" vertical="center" wrapText="1"/>
    </xf>
    <xf numFmtId="0" fontId="31" fillId="0" borderId="10" xfId="14" applyFont="1" applyBorder="1" applyAlignment="1">
      <alignment horizontal="center" vertical="center" wrapText="1"/>
    </xf>
    <xf numFmtId="0" fontId="32" fillId="0" borderId="7" xfId="10" applyFont="1" applyBorder="1" applyAlignment="1">
      <alignment horizontal="center" vertical="center" wrapText="1"/>
    </xf>
    <xf numFmtId="0" fontId="31" fillId="0" borderId="4" xfId="14" applyFont="1" applyBorder="1" applyAlignment="1">
      <alignment horizontal="center" vertical="center"/>
    </xf>
    <xf numFmtId="0" fontId="32" fillId="0" borderId="4" xfId="10" applyFont="1" applyBorder="1" applyAlignment="1">
      <alignment horizontal="center" vertical="center"/>
    </xf>
    <xf numFmtId="0" fontId="31" fillId="0" borderId="3" xfId="14" applyFont="1" applyBorder="1" applyAlignment="1">
      <alignment horizontal="center" vertical="center" wrapText="1"/>
    </xf>
    <xf numFmtId="0" fontId="10" fillId="0" borderId="4" xfId="10" applyBorder="1" applyAlignment="1">
      <alignment horizontal="center" vertical="center" wrapText="1"/>
    </xf>
    <xf numFmtId="0" fontId="10" fillId="0" borderId="4" xfId="10" applyBorder="1" applyAlignment="1">
      <alignment horizontal="center" vertical="center"/>
    </xf>
    <xf numFmtId="0" fontId="22" fillId="0" borderId="18" xfId="14" applyFont="1" applyBorder="1" applyAlignment="1">
      <alignment horizontal="center" vertical="center" wrapText="1"/>
    </xf>
    <xf numFmtId="0" fontId="17" fillId="0" borderId="18" xfId="10" applyFont="1" applyBorder="1" applyAlignment="1">
      <alignment horizontal="center" vertical="center" wrapText="1"/>
    </xf>
    <xf numFmtId="0" fontId="22" fillId="0" borderId="18" xfId="14" quotePrefix="1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/>
    </xf>
    <xf numFmtId="0" fontId="22" fillId="0" borderId="18" xfId="0" applyFont="1" applyBorder="1" applyAlignment="1">
      <alignment horizontal="center" vertical="center" wrapText="1"/>
    </xf>
    <xf numFmtId="0" fontId="31" fillId="0" borderId="0" xfId="14" applyFont="1" applyAlignment="1">
      <alignment horizontal="center" vertical="center"/>
    </xf>
    <xf numFmtId="0" fontId="31" fillId="0" borderId="0" xfId="10" applyFont="1" applyAlignment="1">
      <alignment horizontal="center" vertical="center"/>
    </xf>
    <xf numFmtId="0" fontId="22" fillId="0" borderId="6" xfId="0" applyFont="1" applyBorder="1" applyAlignment="1">
      <alignment horizontal="center" vertical="center"/>
    </xf>
    <xf numFmtId="17" fontId="22" fillId="0" borderId="18" xfId="0" applyNumberFormat="1" applyFont="1" applyBorder="1" applyAlignment="1">
      <alignment horizontal="center" vertical="center"/>
    </xf>
    <xf numFmtId="2" fontId="0" fillId="0" borderId="6" xfId="0" applyNumberFormat="1" applyBorder="1" applyAlignment="1">
      <alignment horizontal="center"/>
    </xf>
    <xf numFmtId="2" fontId="0" fillId="0" borderId="3" xfId="0" applyNumberFormat="1" applyBorder="1" applyAlignment="1">
      <alignment horizontal="center"/>
    </xf>
    <xf numFmtId="2" fontId="0" fillId="0" borderId="9" xfId="0" applyNumberFormat="1" applyBorder="1" applyAlignment="1">
      <alignment horizontal="center"/>
    </xf>
    <xf numFmtId="1" fontId="10" fillId="0" borderId="18" xfId="0" applyNumberFormat="1" applyFont="1" applyBorder="1" applyAlignment="1">
      <alignment horizontal="center" vertical="center"/>
    </xf>
    <xf numFmtId="0" fontId="22" fillId="0" borderId="4" xfId="0" applyFont="1" applyBorder="1" applyAlignment="1">
      <alignment horizontal="center" vertical="center"/>
    </xf>
    <xf numFmtId="0" fontId="22" fillId="0" borderId="6" xfId="10" applyFont="1" applyBorder="1" applyAlignment="1">
      <alignment horizontal="center" vertical="center"/>
    </xf>
    <xf numFmtId="0" fontId="17" fillId="0" borderId="6" xfId="10" applyFont="1" applyBorder="1" applyAlignment="1">
      <alignment horizontal="center" vertical="center"/>
    </xf>
    <xf numFmtId="0" fontId="17" fillId="0" borderId="3" xfId="10" applyFont="1" applyBorder="1" applyAlignment="1">
      <alignment horizontal="center" vertical="center"/>
    </xf>
    <xf numFmtId="0" fontId="17" fillId="0" borderId="9" xfId="10" applyFont="1" applyBorder="1" applyAlignment="1">
      <alignment horizontal="center" vertical="center"/>
    </xf>
    <xf numFmtId="0" fontId="22" fillId="0" borderId="0" xfId="14" applyFont="1" applyAlignment="1">
      <alignment horizontal="center" vertical="center"/>
    </xf>
    <xf numFmtId="0" fontId="22" fillId="0" borderId="18" xfId="10" applyFont="1" applyBorder="1" applyAlignment="1">
      <alignment horizontal="center" vertical="center"/>
    </xf>
    <xf numFmtId="0" fontId="41" fillId="0" borderId="18" xfId="10" applyFont="1" applyBorder="1" applyAlignment="1">
      <alignment horizontal="center" vertical="center" wrapText="1"/>
    </xf>
    <xf numFmtId="0" fontId="22" fillId="0" borderId="8" xfId="10" applyFont="1" applyBorder="1" applyAlignment="1">
      <alignment vertical="center"/>
    </xf>
    <xf numFmtId="2" fontId="22" fillId="0" borderId="18" xfId="10" applyNumberFormat="1" applyFont="1" applyBorder="1" applyAlignment="1">
      <alignment horizontal="center" vertical="center"/>
    </xf>
    <xf numFmtId="2" fontId="22" fillId="0" borderId="18" xfId="10" applyNumberFormat="1" applyFont="1" applyBorder="1" applyAlignment="1">
      <alignment vertical="center"/>
    </xf>
    <xf numFmtId="0" fontId="34" fillId="0" borderId="18" xfId="0" applyFont="1" applyBorder="1" applyAlignment="1">
      <alignment horizontal="center" vertical="center" wrapText="1"/>
    </xf>
    <xf numFmtId="0" fontId="17" fillId="0" borderId="8" xfId="10" applyFont="1" applyBorder="1" applyAlignment="1">
      <alignment vertical="center"/>
    </xf>
    <xf numFmtId="0" fontId="0" fillId="0" borderId="8" xfId="0" applyBorder="1" applyAlignment="1">
      <alignment horizontal="center" vertical="center" wrapText="1"/>
    </xf>
    <xf numFmtId="0" fontId="22" fillId="0" borderId="8" xfId="0" applyFont="1" applyBorder="1" applyAlignment="1">
      <alignment horizontal="left" vertical="center" wrapText="1"/>
    </xf>
    <xf numFmtId="0" fontId="0" fillId="0" borderId="7" xfId="0" applyBorder="1" applyAlignment="1">
      <alignment horizontal="center" vertical="center" wrapText="1"/>
    </xf>
    <xf numFmtId="0" fontId="22" fillId="0" borderId="7" xfId="0" applyFont="1" applyBorder="1" applyAlignment="1">
      <alignment horizontal="left" vertical="center" wrapText="1"/>
    </xf>
    <xf numFmtId="0" fontId="34" fillId="0" borderId="18" xfId="0" applyFont="1" applyBorder="1" applyAlignment="1">
      <alignment horizontal="center" vertical="center"/>
    </xf>
    <xf numFmtId="0" fontId="39" fillId="0" borderId="18" xfId="0" applyFont="1" applyBorder="1" applyAlignment="1">
      <alignment horizontal="center"/>
    </xf>
  </cellXfs>
  <cellStyles count="483">
    <cellStyle name="Body" xfId="1"/>
    <cellStyle name="Comma" xfId="70" builtinId="3"/>
    <cellStyle name="Comma  - Style1" xfId="2"/>
    <cellStyle name="Comma 10" xfId="94"/>
    <cellStyle name="Comma 10 2" xfId="95"/>
    <cellStyle name="Comma 10 3" xfId="251"/>
    <cellStyle name="Comma 10 4" xfId="264"/>
    <cellStyle name="Comma 10 5" xfId="469"/>
    <cellStyle name="Comma 11" xfId="96"/>
    <cellStyle name="Comma 11 2" xfId="19"/>
    <cellStyle name="Comma 11 2 10" xfId="435"/>
    <cellStyle name="Comma 11 2 11" xfId="471"/>
    <cellStyle name="Comma 11 2 2" xfId="97"/>
    <cellStyle name="Comma 11 2 2 2" xfId="98"/>
    <cellStyle name="Comma 11 2 2 3" xfId="92"/>
    <cellStyle name="Comma 11 2 2 4" xfId="347"/>
    <cellStyle name="Comma 11 2 2 5" xfId="366"/>
    <cellStyle name="Comma 11 2 2 6" xfId="384"/>
    <cellStyle name="Comma 11 2 2 7" xfId="400"/>
    <cellStyle name="Comma 11 2 2 8" xfId="416"/>
    <cellStyle name="Comma 11 2 3" xfId="208"/>
    <cellStyle name="Comma 11 2 4" xfId="348"/>
    <cellStyle name="Comma 11 2 5" xfId="357"/>
    <cellStyle name="Comma 11 2 6" xfId="375"/>
    <cellStyle name="Comma 11 2 7" xfId="393"/>
    <cellStyle name="Comma 11 2 8" xfId="409"/>
    <cellStyle name="Comma 11 2 9" xfId="71"/>
    <cellStyle name="Comma 11 2_F2.1" xfId="472"/>
    <cellStyle name="Comma 12" xfId="99"/>
    <cellStyle name="Comma 13" xfId="100"/>
    <cellStyle name="Comma 14" xfId="101"/>
    <cellStyle name="Comma 15" xfId="102"/>
    <cellStyle name="Comma 15 2" xfId="103"/>
    <cellStyle name="Comma 15 2 2" xfId="104"/>
    <cellStyle name="Comma 15 2 2 2" xfId="105"/>
    <cellStyle name="Comma 15 2 2 3" xfId="248"/>
    <cellStyle name="Comma 15 2 2 4" xfId="261"/>
    <cellStyle name="Comma 15 2 3" xfId="106"/>
    <cellStyle name="Comma 15 2 4" xfId="107"/>
    <cellStyle name="Comma 15 2 5" xfId="108"/>
    <cellStyle name="Comma 15 2 6" xfId="109"/>
    <cellStyle name="Comma 15 2 7" xfId="110"/>
    <cellStyle name="Comma 15 2 8" xfId="111"/>
    <cellStyle name="Comma 15 3" xfId="112"/>
    <cellStyle name="Comma 15 4" xfId="113"/>
    <cellStyle name="Comma 15 5" xfId="114"/>
    <cellStyle name="Comma 15 6" xfId="115"/>
    <cellStyle name="Comma 15 7" xfId="116"/>
    <cellStyle name="Comma 15 8" xfId="117"/>
    <cellStyle name="Comma 16" xfId="118"/>
    <cellStyle name="Comma 16 2" xfId="119"/>
    <cellStyle name="Comma 16 3" xfId="120"/>
    <cellStyle name="Comma 16 4" xfId="121"/>
    <cellStyle name="Comma 16 5" xfId="122"/>
    <cellStyle name="Comma 16 6" xfId="123"/>
    <cellStyle name="Comma 16 7" xfId="124"/>
    <cellStyle name="Comma 16 8" xfId="125"/>
    <cellStyle name="Comma 17" xfId="126"/>
    <cellStyle name="Comma 18" xfId="127"/>
    <cellStyle name="Comma 18 2" xfId="128"/>
    <cellStyle name="Comma 18 2 2" xfId="129"/>
    <cellStyle name="Comma 19" xfId="130"/>
    <cellStyle name="Comma 2" xfId="24"/>
    <cellStyle name="Comma 2 10" xfId="247"/>
    <cellStyle name="Comma 2 11" xfId="260"/>
    <cellStyle name="Comma 2 12" xfId="285"/>
    <cellStyle name="Comma 2 13" xfId="327"/>
    <cellStyle name="Comma 2 14" xfId="280"/>
    <cellStyle name="Comma 2 15" xfId="367"/>
    <cellStyle name="Comma 2 16" xfId="385"/>
    <cellStyle name="Comma 2 17" xfId="401"/>
    <cellStyle name="Comma 2 18" xfId="72"/>
    <cellStyle name="Comma 2 19" xfId="462"/>
    <cellStyle name="Comma 2 2" xfId="25"/>
    <cellStyle name="Comma 2 2 10" xfId="325"/>
    <cellStyle name="Comma 2 2 11" xfId="282"/>
    <cellStyle name="Comma 2 2 12" xfId="331"/>
    <cellStyle name="Comma 2 2 13" xfId="276"/>
    <cellStyle name="Comma 2 2 14" xfId="336"/>
    <cellStyle name="Comma 2 2 15" xfId="73"/>
    <cellStyle name="Comma 2 2 2" xfId="62"/>
    <cellStyle name="Comma 2 2 2 2" xfId="133"/>
    <cellStyle name="Comma 2 2 2 3" xfId="287"/>
    <cellStyle name="Comma 2 2 2 4" xfId="324"/>
    <cellStyle name="Comma 2 2 2 5" xfId="283"/>
    <cellStyle name="Comma 2 2 2 6" xfId="330"/>
    <cellStyle name="Comma 2 2 2 7" xfId="277"/>
    <cellStyle name="Comma 2 2 2 8" xfId="334"/>
    <cellStyle name="Comma 2 2 3" xfId="132"/>
    <cellStyle name="Comma 2 2 4" xfId="135"/>
    <cellStyle name="Comma 2 2 5" xfId="136"/>
    <cellStyle name="Comma 2 2 6" xfId="137"/>
    <cellStyle name="Comma 2 2 7" xfId="138"/>
    <cellStyle name="Comma 2 2 8" xfId="139"/>
    <cellStyle name="Comma 2 2 9" xfId="286"/>
    <cellStyle name="Comma 2 3" xfId="26"/>
    <cellStyle name="Comma 2 3 2" xfId="140"/>
    <cellStyle name="Comma 2 3 3" xfId="295"/>
    <cellStyle name="Comma 2 3 4" xfId="312"/>
    <cellStyle name="Comma 2 3 5" xfId="298"/>
    <cellStyle name="Comma 2 3 6" xfId="311"/>
    <cellStyle name="Comma 2 3 7" xfId="299"/>
    <cellStyle name="Comma 2 3 8" xfId="310"/>
    <cellStyle name="Comma 2 3 9" xfId="74"/>
    <cellStyle name="Comma 2 4" xfId="55"/>
    <cellStyle name="Comma 2 4 2" xfId="141"/>
    <cellStyle name="Comma 2 4 3" xfId="296"/>
    <cellStyle name="Comma 2 4 4" xfId="365"/>
    <cellStyle name="Comma 2 4 5" xfId="383"/>
    <cellStyle name="Comma 2 4 6" xfId="399"/>
    <cellStyle name="Comma 2 4 7" xfId="415"/>
    <cellStyle name="Comma 2 4 8" xfId="428"/>
    <cellStyle name="Comma 2 5" xfId="131"/>
    <cellStyle name="Comma 2 6" xfId="143"/>
    <cellStyle name="Comma 2 7" xfId="144"/>
    <cellStyle name="Comma 2 8" xfId="145"/>
    <cellStyle name="Comma 2 9" xfId="146"/>
    <cellStyle name="Comma 2_F2.1" xfId="461"/>
    <cellStyle name="Comma 20" xfId="147"/>
    <cellStyle name="Comma 21" xfId="148"/>
    <cellStyle name="Comma 22" xfId="149"/>
    <cellStyle name="Comma 23" xfId="150"/>
    <cellStyle name="Comma 24" xfId="151"/>
    <cellStyle name="Comma 25" xfId="152"/>
    <cellStyle name="Comma 26" xfId="153"/>
    <cellStyle name="Comma 27" xfId="154"/>
    <cellStyle name="Comma 28" xfId="155"/>
    <cellStyle name="Comma 29" xfId="156"/>
    <cellStyle name="Comma 3" xfId="27"/>
    <cellStyle name="Comma 3 10" xfId="75"/>
    <cellStyle name="Comma 3 11" xfId="467"/>
    <cellStyle name="Comma 3 2" xfId="61"/>
    <cellStyle name="Comma 3 2 2" xfId="76"/>
    <cellStyle name="Comma 3 2 3" xfId="436"/>
    <cellStyle name="Comma 3 3" xfId="157"/>
    <cellStyle name="Comma 3 4" xfId="301"/>
    <cellStyle name="Comma 3 5" xfId="361"/>
    <cellStyle name="Comma 3 6" xfId="379"/>
    <cellStyle name="Comma 3 7" xfId="396"/>
    <cellStyle name="Comma 3 8" xfId="412"/>
    <cellStyle name="Comma 3 9" xfId="426"/>
    <cellStyle name="Comma 3_F2.1" xfId="473"/>
    <cellStyle name="Comma 30" xfId="158"/>
    <cellStyle name="Comma 31" xfId="159"/>
    <cellStyle name="Comma 32" xfId="160"/>
    <cellStyle name="Comma 33" xfId="161"/>
    <cellStyle name="Comma 34" xfId="162"/>
    <cellStyle name="Comma 35" xfId="163"/>
    <cellStyle name="Comma 36" xfId="164"/>
    <cellStyle name="Comma 37" xfId="165"/>
    <cellStyle name="Comma 38" xfId="249"/>
    <cellStyle name="Comma 39" xfId="254"/>
    <cellStyle name="Comma 4" xfId="28"/>
    <cellStyle name="Comma 4 10" xfId="77"/>
    <cellStyle name="Comma 4 2" xfId="63"/>
    <cellStyle name="Comma 4 2 10" xfId="437"/>
    <cellStyle name="Comma 4 2 2" xfId="167"/>
    <cellStyle name="Comma 4 2 3" xfId="305"/>
    <cellStyle name="Comma 4 2 4" xfId="359"/>
    <cellStyle name="Comma 4 2 5" xfId="377"/>
    <cellStyle name="Comma 4 2 6" xfId="395"/>
    <cellStyle name="Comma 4 2 7" xfId="411"/>
    <cellStyle name="Comma 4 2 8" xfId="425"/>
    <cellStyle name="Comma 4 2 9" xfId="78"/>
    <cellStyle name="Comma 4 3" xfId="168"/>
    <cellStyle name="Comma 4 4" xfId="169"/>
    <cellStyle name="Comma 4 5" xfId="170"/>
    <cellStyle name="Comma 4 6" xfId="171"/>
    <cellStyle name="Comma 4 7" xfId="172"/>
    <cellStyle name="Comma 4 8" xfId="173"/>
    <cellStyle name="Comma 4 9" xfId="174"/>
    <cellStyle name="Comma 40" xfId="256"/>
    <cellStyle name="Comma 41" xfId="258"/>
    <cellStyle name="Comma 42" xfId="262"/>
    <cellStyle name="Comma 43" xfId="266"/>
    <cellStyle name="Comma 44" xfId="451"/>
    <cellStyle name="Comma 45" xfId="453"/>
    <cellStyle name="Comma 46" xfId="455"/>
    <cellStyle name="Comma 47" xfId="457"/>
    <cellStyle name="Comma 48" xfId="458"/>
    <cellStyle name="Comma 49" xfId="421"/>
    <cellStyle name="Comma 5" xfId="29"/>
    <cellStyle name="Comma 5 10" xfId="176"/>
    <cellStyle name="Comma 5 11" xfId="308"/>
    <cellStyle name="Comma 5 12" xfId="302"/>
    <cellStyle name="Comma 5 13" xfId="307"/>
    <cellStyle name="Comma 5 14" xfId="303"/>
    <cellStyle name="Comma 5 15" xfId="306"/>
    <cellStyle name="Comma 5 16" xfId="304"/>
    <cellStyle name="Comma 5 17" xfId="79"/>
    <cellStyle name="Comma 5 18" xfId="438"/>
    <cellStyle name="Comma 5 2" xfId="175"/>
    <cellStyle name="Comma 5 2 2" xfId="177"/>
    <cellStyle name="Comma 5 2 3" xfId="309"/>
    <cellStyle name="Comma 5 2 4" xfId="300"/>
    <cellStyle name="Comma 5 2 5" xfId="364"/>
    <cellStyle name="Comma 5 2 6" xfId="382"/>
    <cellStyle name="Comma 5 2 7" xfId="398"/>
    <cellStyle name="Comma 5 2 8" xfId="414"/>
    <cellStyle name="Comma 5 3" xfId="178"/>
    <cellStyle name="Comma 5 3 2" xfId="179"/>
    <cellStyle name="Comma 5 3 3" xfId="180"/>
    <cellStyle name="Comma 5 3 4" xfId="181"/>
    <cellStyle name="Comma 5 3 5" xfId="182"/>
    <cellStyle name="Comma 5 3 6" xfId="183"/>
    <cellStyle name="Comma 5 3 7" xfId="184"/>
    <cellStyle name="Comma 5 3 8" xfId="185"/>
    <cellStyle name="Comma 5 4" xfId="186"/>
    <cellStyle name="Comma 5 4 2" xfId="187"/>
    <cellStyle name="Comma 5 4 2 2" xfId="188"/>
    <cellStyle name="Comma 5 4 2 3" xfId="250"/>
    <cellStyle name="Comma 5 4 2 4" xfId="263"/>
    <cellStyle name="Comma 5 5" xfId="189"/>
    <cellStyle name="Comma 5 6" xfId="190"/>
    <cellStyle name="Comma 5 7" xfId="191"/>
    <cellStyle name="Comma 5 8" xfId="192"/>
    <cellStyle name="Comma 5 9" xfId="193"/>
    <cellStyle name="Comma 50" xfId="460"/>
    <cellStyle name="Comma 6" xfId="47"/>
    <cellStyle name="Comma 6 2" xfId="48"/>
    <cellStyle name="Comma 6 3" xfId="49"/>
    <cellStyle name="Comma 6 4" xfId="50"/>
    <cellStyle name="Comma 6 5" xfId="80"/>
    <cellStyle name="Comma 7" xfId="21"/>
    <cellStyle name="Comma 7 2" xfId="195"/>
    <cellStyle name="Comma 7 3" xfId="317"/>
    <cellStyle name="Comma 7 4" xfId="291"/>
    <cellStyle name="Comma 7 5" xfId="315"/>
    <cellStyle name="Comma 7 6" xfId="293"/>
    <cellStyle name="Comma 7 7" xfId="313"/>
    <cellStyle name="Comma 7 8" xfId="297"/>
    <cellStyle name="Comma 8" xfId="64"/>
    <cellStyle name="Comma 8 10" xfId="439"/>
    <cellStyle name="Comma 8 2" xfId="196"/>
    <cellStyle name="Comma 8 3" xfId="318"/>
    <cellStyle name="Comma 8 4" xfId="290"/>
    <cellStyle name="Comma 8 5" xfId="316"/>
    <cellStyle name="Comma 8 6" xfId="292"/>
    <cellStyle name="Comma 8 7" xfId="314"/>
    <cellStyle name="Comma 8 8" xfId="294"/>
    <cellStyle name="Comma 8 9" xfId="81"/>
    <cellStyle name="Comma 9" xfId="93"/>
    <cellStyle name="Comma 9 2" xfId="197"/>
    <cellStyle name="Comma 9 3" xfId="319"/>
    <cellStyle name="Comma 9 4" xfId="289"/>
    <cellStyle name="Comma 9 5" xfId="320"/>
    <cellStyle name="Comma 9 6" xfId="288"/>
    <cellStyle name="Comma 9 7" xfId="242"/>
    <cellStyle name="Comma 9 8" xfId="353"/>
    <cellStyle name="Curren - Style2" xfId="3"/>
    <cellStyle name="Grey" xfId="4"/>
    <cellStyle name="Header1" xfId="5"/>
    <cellStyle name="Header2" xfId="6"/>
    <cellStyle name="Hyperlink 2" xfId="198"/>
    <cellStyle name="Input [yellow]" xfId="7"/>
    <cellStyle name="no dec" xfId="8"/>
    <cellStyle name="Normal" xfId="0" builtinId="0"/>
    <cellStyle name="Normal - Style1" xfId="9"/>
    <cellStyle name="Normal 10" xfId="66"/>
    <cellStyle name="Normal 10 10" xfId="440"/>
    <cellStyle name="Normal 10 2" xfId="199"/>
    <cellStyle name="Normal 10 3" xfId="321"/>
    <cellStyle name="Normal 10 4" xfId="363"/>
    <cellStyle name="Normal 10 5" xfId="381"/>
    <cellStyle name="Normal 10 6" xfId="397"/>
    <cellStyle name="Normal 10 7" xfId="413"/>
    <cellStyle name="Normal 10 8" xfId="427"/>
    <cellStyle name="Normal 10 9" xfId="82"/>
    <cellStyle name="Normal 11" xfId="68"/>
    <cellStyle name="Normal 11 10" xfId="441"/>
    <cellStyle name="Normal 11 2" xfId="200"/>
    <cellStyle name="Normal 11 3" xfId="322"/>
    <cellStyle name="Normal 11 4" xfId="356"/>
    <cellStyle name="Normal 11 5" xfId="374"/>
    <cellStyle name="Normal 11 6" xfId="392"/>
    <cellStyle name="Normal 11 7" xfId="408"/>
    <cellStyle name="Normal 11 8" xfId="424"/>
    <cellStyle name="Normal 11 9" xfId="83"/>
    <cellStyle name="Normal 12" xfId="69"/>
    <cellStyle name="Normal 12 10" xfId="442"/>
    <cellStyle name="Normal 12 2" xfId="201"/>
    <cellStyle name="Normal 12 3" xfId="323"/>
    <cellStyle name="Normal 12 4" xfId="284"/>
    <cellStyle name="Normal 12 5" xfId="328"/>
    <cellStyle name="Normal 12 6" xfId="279"/>
    <cellStyle name="Normal 12 7" xfId="332"/>
    <cellStyle name="Normal 12 8" xfId="275"/>
    <cellStyle name="Normal 12 9" xfId="84"/>
    <cellStyle name="Normal 13" xfId="202"/>
    <cellStyle name="Normal 14" xfId="203"/>
    <cellStyle name="Normal 14 2" xfId="67"/>
    <cellStyle name="Normal 14 2 2" xfId="85"/>
    <cellStyle name="Normal 14 2 3" xfId="443"/>
    <cellStyle name="Normal 14 2 4" xfId="470"/>
    <cellStyle name="Normal 14 2_F2.1" xfId="475"/>
    <cellStyle name="Normal 15" xfId="18"/>
    <cellStyle name="Normal 15 10" xfId="444"/>
    <cellStyle name="Normal 15 2" xfId="204"/>
    <cellStyle name="Normal 15 3" xfId="326"/>
    <cellStyle name="Normal 15 4" xfId="281"/>
    <cellStyle name="Normal 15 5" xfId="358"/>
    <cellStyle name="Normal 15 6" xfId="376"/>
    <cellStyle name="Normal 15 7" xfId="394"/>
    <cellStyle name="Normal 15 8" xfId="410"/>
    <cellStyle name="Normal 15 9" xfId="86"/>
    <cellStyle name="Normal 16" xfId="205"/>
    <cellStyle name="Normal 16 2" xfId="463"/>
    <cellStyle name="Normal 16_F2.1" xfId="476"/>
    <cellStyle name="Normal 17" xfId="206"/>
    <cellStyle name="Normal 18" xfId="60"/>
    <cellStyle name="Normal 18 10" xfId="445"/>
    <cellStyle name="Normal 18 2" xfId="207"/>
    <cellStyle name="Normal 18 2 2" xfId="209"/>
    <cellStyle name="Normal 18 2 3" xfId="252"/>
    <cellStyle name="Normal 18 2 4" xfId="265"/>
    <cellStyle name="Normal 18 3" xfId="329"/>
    <cellStyle name="Normal 18 4" xfId="278"/>
    <cellStyle name="Normal 18 5" xfId="333"/>
    <cellStyle name="Normal 18 6" xfId="274"/>
    <cellStyle name="Normal 18 7" xfId="337"/>
    <cellStyle name="Normal 18 8" xfId="272"/>
    <cellStyle name="Normal 18 9" xfId="87"/>
    <cellStyle name="Normal 19" xfId="210"/>
    <cellStyle name="Normal 2" xfId="10"/>
    <cellStyle name="Normal 2 2" xfId="11"/>
    <cellStyle name="Normal 2 2 2" xfId="30"/>
    <cellStyle name="Normal 2 2 2 2" xfId="56"/>
    <cellStyle name="Normal 2 2 3" xfId="468"/>
    <cellStyle name="Normal 2 2_F2.1" xfId="477"/>
    <cellStyle name="Normal 2 3" xfId="12"/>
    <cellStyle name="Normal 2 3 2" xfId="213"/>
    <cellStyle name="Normal 2 3 3" xfId="335"/>
    <cellStyle name="Normal 2 3 4" xfId="273"/>
    <cellStyle name="Normal 2 3 5" xfId="338"/>
    <cellStyle name="Normal 2 3 6" xfId="271"/>
    <cellStyle name="Normal 2 3 7" xfId="339"/>
    <cellStyle name="Normal 2 3 8" xfId="270"/>
    <cellStyle name="Normal 2 4" xfId="51"/>
    <cellStyle name="Normal 2_ARR FINAL" xfId="31"/>
    <cellStyle name="Normal 20" xfId="214"/>
    <cellStyle name="Normal 21" xfId="215"/>
    <cellStyle name="Normal 22" xfId="216"/>
    <cellStyle name="Normal 23" xfId="217"/>
    <cellStyle name="Normal 24" xfId="218"/>
    <cellStyle name="Normal 24 2" xfId="464"/>
    <cellStyle name="Normal 24_F2.1" xfId="478"/>
    <cellStyle name="Normal 25" xfId="219"/>
    <cellStyle name="Normal 25 2" xfId="466"/>
    <cellStyle name="Normal 25_F2.1" xfId="479"/>
    <cellStyle name="Normal 26" xfId="220"/>
    <cellStyle name="Normal 26 2" xfId="465"/>
    <cellStyle name="Normal 26_F2.1" xfId="480"/>
    <cellStyle name="Normal 27" xfId="221"/>
    <cellStyle name="Normal 28" xfId="222"/>
    <cellStyle name="Normal 29" xfId="223"/>
    <cellStyle name="Normal 3" xfId="13"/>
    <cellStyle name="Normal 3 10" xfId="269"/>
    <cellStyle name="Normal 3 11" xfId="342"/>
    <cellStyle name="Normal 3 12" xfId="134"/>
    <cellStyle name="Normal 3 13" xfId="360"/>
    <cellStyle name="Normal 3 14" xfId="378"/>
    <cellStyle name="Normal 3 2" xfId="32"/>
    <cellStyle name="Normal 3 2 2" xfId="57"/>
    <cellStyle name="Normal 3 2 3" xfId="225"/>
    <cellStyle name="Normal 3 2 4" xfId="341"/>
    <cellStyle name="Normal 3 2 5" xfId="268"/>
    <cellStyle name="Normal 3 2 6" xfId="343"/>
    <cellStyle name="Normal 3 2 7" xfId="142"/>
    <cellStyle name="Normal 3 2 8" xfId="362"/>
    <cellStyle name="Normal 3 2 9" xfId="380"/>
    <cellStyle name="Normal 3 3" xfId="224"/>
    <cellStyle name="Normal 3 4" xfId="226"/>
    <cellStyle name="Normal 3 5" xfId="227"/>
    <cellStyle name="Normal 3 6" xfId="228"/>
    <cellStyle name="Normal 3 7" xfId="229"/>
    <cellStyle name="Normal 3 8" xfId="230"/>
    <cellStyle name="Normal 3 9" xfId="340"/>
    <cellStyle name="Normal 30" xfId="231"/>
    <cellStyle name="Normal 31" xfId="246"/>
    <cellStyle name="Normal 32" xfId="253"/>
    <cellStyle name="Normal 33" xfId="255"/>
    <cellStyle name="Normal 34" xfId="257"/>
    <cellStyle name="Normal 35" xfId="259"/>
    <cellStyle name="Normal 36" xfId="267"/>
    <cellStyle name="Normal 37" xfId="434"/>
    <cellStyle name="Normal 38" xfId="450"/>
    <cellStyle name="Normal 39" xfId="22"/>
    <cellStyle name="Normal 4" xfId="33"/>
    <cellStyle name="Normal 4 10" xfId="166"/>
    <cellStyle name="Normal 4 11" xfId="368"/>
    <cellStyle name="Normal 4 12" xfId="386"/>
    <cellStyle name="Normal 4 13" xfId="402"/>
    <cellStyle name="Normal 4 14" xfId="417"/>
    <cellStyle name="Normal 4 2" xfId="58"/>
    <cellStyle name="Normal 4 2 2" xfId="233"/>
    <cellStyle name="Normal 4 2 3" xfId="345"/>
    <cellStyle name="Normal 4 2 4" xfId="194"/>
    <cellStyle name="Normal 4 2 5" xfId="346"/>
    <cellStyle name="Normal 4 2 6" xfId="211"/>
    <cellStyle name="Normal 4 2 7" xfId="349"/>
    <cellStyle name="Normal 4 2 8" xfId="212"/>
    <cellStyle name="Normal 4 3" xfId="232"/>
    <cellStyle name="Normal 4 4" xfId="234"/>
    <cellStyle name="Normal 4 5" xfId="235"/>
    <cellStyle name="Normal 4 6" xfId="236"/>
    <cellStyle name="Normal 4 7" xfId="237"/>
    <cellStyle name="Normal 4 8" xfId="238"/>
    <cellStyle name="Normal 4 9" xfId="344"/>
    <cellStyle name="Normal 40" xfId="452"/>
    <cellStyle name="Normal 41" xfId="454"/>
    <cellStyle name="Normal 42" xfId="456"/>
    <cellStyle name="Normal 43" xfId="459"/>
    <cellStyle name="Normal 5" xfId="34"/>
    <cellStyle name="Normal 5 10" xfId="88"/>
    <cellStyle name="Normal 5 11" xfId="446"/>
    <cellStyle name="Normal 5 2" xfId="35"/>
    <cellStyle name="Normal 5 3" xfId="239"/>
    <cellStyle name="Normal 5 4" xfId="350"/>
    <cellStyle name="Normal 5 5" xfId="369"/>
    <cellStyle name="Normal 5 6" xfId="387"/>
    <cellStyle name="Normal 5 7" xfId="403"/>
    <cellStyle name="Normal 5 8" xfId="418"/>
    <cellStyle name="Normal 5 9" xfId="429"/>
    <cellStyle name="Normal 6" xfId="36"/>
    <cellStyle name="Normal 6 2" xfId="240"/>
    <cellStyle name="Normal 6 3" xfId="351"/>
    <cellStyle name="Normal 6 4" xfId="370"/>
    <cellStyle name="Normal 6 5" xfId="388"/>
    <cellStyle name="Normal 6 6" xfId="404"/>
    <cellStyle name="Normal 6 7" xfId="419"/>
    <cellStyle name="Normal 6 8" xfId="430"/>
    <cellStyle name="Normal 7" xfId="37"/>
    <cellStyle name="Normal 7 10" xfId="447"/>
    <cellStyle name="Normal 7 2" xfId="241"/>
    <cellStyle name="Normal 7 2 2" xfId="243"/>
    <cellStyle name="Normal 7 3" xfId="352"/>
    <cellStyle name="Normal 7 4" xfId="371"/>
    <cellStyle name="Normal 7 5" xfId="389"/>
    <cellStyle name="Normal 7 6" xfId="405"/>
    <cellStyle name="Normal 7 7" xfId="420"/>
    <cellStyle name="Normal 7 8" xfId="431"/>
    <cellStyle name="Normal 7 9" xfId="89"/>
    <cellStyle name="Normal 8" xfId="52"/>
    <cellStyle name="Normal 8 2" xfId="244"/>
    <cellStyle name="Normal 8 3" xfId="354"/>
    <cellStyle name="Normal 8 4" xfId="372"/>
    <cellStyle name="Normal 8 5" xfId="390"/>
    <cellStyle name="Normal 8 6" xfId="406"/>
    <cellStyle name="Normal 8 7" xfId="422"/>
    <cellStyle name="Normal 8 8" xfId="432"/>
    <cellStyle name="Normal 9" xfId="53"/>
    <cellStyle name="Normal 9 2" xfId="245"/>
    <cellStyle name="Normal 9 3" xfId="355"/>
    <cellStyle name="Normal 9 4" xfId="373"/>
    <cellStyle name="Normal 9 5" xfId="391"/>
    <cellStyle name="Normal 9 6" xfId="407"/>
    <cellStyle name="Normal 9 7" xfId="423"/>
    <cellStyle name="Normal 9 8" xfId="433"/>
    <cellStyle name="Normal_F2.1" xfId="474"/>
    <cellStyle name="Normal_F2.2" xfId="481"/>
    <cellStyle name="Normal_F2.3" xfId="482"/>
    <cellStyle name="Normal_FORMATS 5 YEAR ALOKE 2" xfId="14"/>
    <cellStyle name="Percent [0]_#6 Temps &amp; Contractors" xfId="15"/>
    <cellStyle name="Percent [2]" xfId="16"/>
    <cellStyle name="Percent 2" xfId="38"/>
    <cellStyle name="Percent 2 2" xfId="39"/>
    <cellStyle name="Percent 2 3" xfId="59"/>
    <cellStyle name="Percent 3" xfId="40"/>
    <cellStyle name="Percent 3 2" xfId="41"/>
    <cellStyle name="Percent 4" xfId="23"/>
    <cellStyle name="Percent 41" xfId="20"/>
    <cellStyle name="Percent 41 2" xfId="90"/>
    <cellStyle name="Percent 41 3" xfId="448"/>
    <cellStyle name="Percent 5" xfId="42"/>
    <cellStyle name="Percent 5 2" xfId="43"/>
    <cellStyle name="Percent 5 3" xfId="44"/>
    <cellStyle name="Percent 6" xfId="45"/>
    <cellStyle name="Percent 6 2" xfId="46"/>
    <cellStyle name="Percent 7" xfId="65"/>
    <cellStyle name="Percent 7 2" xfId="91"/>
    <cellStyle name="Percent 7 3" xfId="449"/>
    <cellStyle name="Style 1" xfId="17"/>
    <cellStyle name="Style 2" xfId="54"/>
  </cellStyles>
  <dxfs count="0"/>
  <tableStyles count="0" defaultTableStyle="TableStyleMedium9" defaultPivotStyle="PivotStyleLight16"/>
  <colors>
    <mruColors>
      <color rgb="FFFBCBA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3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2.xml"/><Relationship Id="rId28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1.xml"/><Relationship Id="rId27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ech1\EMAIL\Performance\PERFORMANCE\ocm\Yearly_perf\OCMJAN200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ser21\shared%20doc\ARR%202.6%20REV\Performance\PERFORMANCE\ocm\Yearly_perf\OCMJAN2000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Performance\PERFORMANCE\ocm\Yearly_perf\OCMJAN200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ily input"/>
      <sheetName val="Daily report"/>
      <sheetName val="OCM2"/>
      <sheetName val="OCM4"/>
      <sheetName val="OCM1"/>
      <sheetName val="OCM3"/>
      <sheetName val="OCM5"/>
      <sheetName val="OCM7"/>
      <sheetName val="INDEX"/>
      <sheetName val="OCM6"/>
      <sheetName val="highlight"/>
      <sheetName val="water"/>
      <sheetName val="AWARD"/>
      <sheetName val="CE"/>
      <sheetName val="hrawd"/>
      <sheetName val="2000-01"/>
      <sheetName val="04REL"/>
      <sheetName val="Inputs &amp; Assumptions"/>
      <sheetName val="Daily_input"/>
      <sheetName val="Daily_report"/>
      <sheetName val="Title"/>
      <sheetName val="CAPI_01-02"/>
    </sheetNames>
    <sheetDataSet>
      <sheetData sheetId="0" refreshError="1"/>
      <sheetData sheetId="1" refreshError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/>
      <sheetData sheetId="14" refreshError="1"/>
      <sheetData sheetId="15" refreshError="1"/>
      <sheetData sheetId="16" refreshError="1"/>
      <sheetData sheetId="17"/>
      <sheetData sheetId="18"/>
      <sheetData sheetId="19" refreshError="1"/>
      <sheetData sheetId="20" refreshError="1"/>
      <sheetData sheetId="2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ily input"/>
      <sheetName val="Daily report"/>
      <sheetName val="OCM2"/>
      <sheetName val="OCM4"/>
      <sheetName val="OCM1"/>
      <sheetName val="OCM3"/>
      <sheetName val="OCM5"/>
      <sheetName val="OCM7"/>
      <sheetName val="INDEX"/>
      <sheetName val="OCM6"/>
      <sheetName val="highlight"/>
      <sheetName val="water"/>
      <sheetName val="AWARD"/>
      <sheetName val="CE"/>
      <sheetName val="hrawd"/>
      <sheetName val="Assumptions"/>
      <sheetName val="A 3.7"/>
      <sheetName val="water_bal"/>
      <sheetName val="Daily_input"/>
      <sheetName val="Daily_report"/>
      <sheetName val="A_3_7"/>
      <sheetName val="Clause 9"/>
    </sheetNames>
    <sheetDataSet>
      <sheetData sheetId="0" refreshError="1"/>
      <sheetData sheetId="1" refreshError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/>
      <sheetData sheetId="14" refreshError="1"/>
      <sheetData sheetId="15" refreshError="1"/>
      <sheetData sheetId="16" refreshError="1"/>
      <sheetData sheetId="17" refreshError="1"/>
      <sheetData sheetId="18"/>
      <sheetData sheetId="19"/>
      <sheetData sheetId="20"/>
      <sheetData sheetId="2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ily input"/>
      <sheetName val="Daily report"/>
      <sheetName val="OCM2"/>
      <sheetName val="OCM4"/>
      <sheetName val="OCM1"/>
      <sheetName val="OCM3"/>
      <sheetName val="OCM5"/>
      <sheetName val="OCM7"/>
      <sheetName val="INDEX"/>
      <sheetName val="OCM6"/>
      <sheetName val="highlight"/>
      <sheetName val="water"/>
      <sheetName val="AWARD"/>
      <sheetName val="CE"/>
      <sheetName val="hrawd"/>
      <sheetName val="04REL"/>
      <sheetName val="Daily_input"/>
      <sheetName val="Daily_report"/>
      <sheetName val="Instruction Sheet"/>
    </sheetNames>
    <sheetDataSet>
      <sheetData sheetId="0" refreshError="1"/>
      <sheetData sheetId="1" refreshError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/>
      <sheetData sheetId="14" refreshError="1"/>
      <sheetData sheetId="15" refreshError="1"/>
      <sheetData sheetId="16"/>
      <sheetData sheetId="17"/>
      <sheetData sheetId="18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26"/>
  <sheetViews>
    <sheetView showGridLines="0" zoomScale="80" zoomScaleNormal="80" zoomScaleSheetLayoutView="80" workbookViewId="0">
      <selection activeCell="G11" sqref="G11"/>
    </sheetView>
  </sheetViews>
  <sheetFormatPr defaultColWidth="9.28515625" defaultRowHeight="15" x14ac:dyDescent="0.2"/>
  <cols>
    <col min="1" max="1" width="3.7109375" style="6" customWidth="1"/>
    <col min="2" max="2" width="7.42578125" style="6" customWidth="1"/>
    <col min="3" max="3" width="12.5703125" style="6" customWidth="1"/>
    <col min="4" max="4" width="43.28515625" style="6" customWidth="1"/>
    <col min="5" max="5" width="11.42578125" style="6" customWidth="1"/>
    <col min="6" max="6" width="20.7109375" style="6" customWidth="1"/>
    <col min="7" max="8" width="18.7109375" style="6" customWidth="1"/>
    <col min="9" max="16384" width="9.28515625" style="6"/>
  </cols>
  <sheetData>
    <row r="1" spans="2:8" ht="15.75" x14ac:dyDescent="0.2">
      <c r="B1" s="311" t="s">
        <v>400</v>
      </c>
      <c r="C1" s="311"/>
      <c r="D1" s="312"/>
      <c r="E1" s="312"/>
      <c r="F1" s="1"/>
      <c r="G1" s="1"/>
      <c r="H1" s="1"/>
    </row>
    <row r="2" spans="2:8" ht="15.75" x14ac:dyDescent="0.2">
      <c r="B2" s="311" t="s">
        <v>493</v>
      </c>
      <c r="C2" s="311"/>
      <c r="D2" s="312"/>
      <c r="E2" s="312"/>
      <c r="F2" s="1"/>
      <c r="G2" s="1"/>
      <c r="H2" s="1"/>
    </row>
    <row r="3" spans="2:8" s="10" customFormat="1" ht="15.75" x14ac:dyDescent="0.2">
      <c r="B3" s="313" t="s">
        <v>371</v>
      </c>
      <c r="C3" s="313"/>
      <c r="D3" s="314"/>
      <c r="E3" s="314"/>
      <c r="F3" s="1"/>
      <c r="G3" s="1"/>
      <c r="H3" s="1"/>
    </row>
    <row r="4" spans="2:8" ht="15.75" x14ac:dyDescent="0.2">
      <c r="D4" s="66" t="s">
        <v>373</v>
      </c>
    </row>
    <row r="5" spans="2:8" ht="15.75" x14ac:dyDescent="0.2">
      <c r="B5" s="11" t="s">
        <v>193</v>
      </c>
      <c r="C5" s="11" t="s">
        <v>372</v>
      </c>
      <c r="D5" s="12" t="s">
        <v>7</v>
      </c>
      <c r="E5" s="12" t="s">
        <v>374</v>
      </c>
    </row>
    <row r="6" spans="2:8" x14ac:dyDescent="0.2">
      <c r="B6" s="7">
        <v>1</v>
      </c>
      <c r="C6" s="7" t="s">
        <v>6</v>
      </c>
      <c r="D6" s="166" t="s">
        <v>376</v>
      </c>
      <c r="E6" s="8"/>
    </row>
    <row r="7" spans="2:8" x14ac:dyDescent="0.2">
      <c r="B7" s="7">
        <f>B6+1</f>
        <v>2</v>
      </c>
      <c r="C7" s="7" t="s">
        <v>266</v>
      </c>
      <c r="D7" s="166" t="s">
        <v>378</v>
      </c>
      <c r="E7" s="8"/>
    </row>
    <row r="8" spans="2:8" x14ac:dyDescent="0.2">
      <c r="B8" s="7">
        <f>B7+1</f>
        <v>3</v>
      </c>
      <c r="C8" s="7" t="s">
        <v>24</v>
      </c>
      <c r="D8" s="166" t="s">
        <v>379</v>
      </c>
      <c r="E8" s="8"/>
    </row>
    <row r="9" spans="2:8" x14ac:dyDescent="0.2">
      <c r="B9" s="7">
        <f>B8+1</f>
        <v>4</v>
      </c>
      <c r="C9" s="7" t="s">
        <v>25</v>
      </c>
      <c r="D9" s="166" t="s">
        <v>380</v>
      </c>
      <c r="E9" s="8"/>
    </row>
    <row r="10" spans="2:8" x14ac:dyDescent="0.2">
      <c r="B10" s="7">
        <f>B9+1</f>
        <v>5</v>
      </c>
      <c r="C10" s="7" t="s">
        <v>267</v>
      </c>
      <c r="D10" s="166" t="s">
        <v>381</v>
      </c>
      <c r="E10" s="8"/>
    </row>
    <row r="11" spans="2:8" ht="30" x14ac:dyDescent="0.2">
      <c r="B11" s="7">
        <f t="shared" ref="B11:B26" si="0">B10+1</f>
        <v>6</v>
      </c>
      <c r="C11" s="7" t="s">
        <v>22</v>
      </c>
      <c r="D11" s="166" t="s">
        <v>220</v>
      </c>
      <c r="E11" s="8"/>
    </row>
    <row r="12" spans="2:8" ht="30" x14ac:dyDescent="0.2">
      <c r="B12" s="7">
        <f t="shared" si="0"/>
        <v>7</v>
      </c>
      <c r="C12" s="7" t="s">
        <v>27</v>
      </c>
      <c r="D12" s="166" t="s">
        <v>382</v>
      </c>
      <c r="E12" s="8"/>
    </row>
    <row r="13" spans="2:8" x14ac:dyDescent="0.2">
      <c r="B13" s="7">
        <f t="shared" si="0"/>
        <v>8</v>
      </c>
      <c r="C13" s="7" t="s">
        <v>28</v>
      </c>
      <c r="D13" s="9" t="s">
        <v>190</v>
      </c>
      <c r="E13" s="8"/>
    </row>
    <row r="14" spans="2:8" x14ac:dyDescent="0.2">
      <c r="B14" s="7">
        <f t="shared" si="0"/>
        <v>9</v>
      </c>
      <c r="C14" s="7" t="s">
        <v>23</v>
      </c>
      <c r="D14" s="9" t="s">
        <v>383</v>
      </c>
      <c r="E14" s="8"/>
    </row>
    <row r="15" spans="2:8" x14ac:dyDescent="0.2">
      <c r="B15" s="7">
        <f t="shared" si="0"/>
        <v>10</v>
      </c>
      <c r="C15" s="7" t="s">
        <v>29</v>
      </c>
      <c r="D15" s="166" t="s">
        <v>233</v>
      </c>
      <c r="E15" s="8"/>
    </row>
    <row r="16" spans="2:8" x14ac:dyDescent="0.2">
      <c r="B16" s="7">
        <f t="shared" si="0"/>
        <v>11</v>
      </c>
      <c r="C16" s="7" t="s">
        <v>30</v>
      </c>
      <c r="D16" s="9" t="s">
        <v>289</v>
      </c>
      <c r="E16" s="8"/>
    </row>
    <row r="17" spans="2:5" x14ac:dyDescent="0.2">
      <c r="B17" s="7">
        <f t="shared" si="0"/>
        <v>12</v>
      </c>
      <c r="C17" s="7" t="s">
        <v>31</v>
      </c>
      <c r="D17" s="9" t="s">
        <v>234</v>
      </c>
      <c r="E17" s="8"/>
    </row>
    <row r="18" spans="2:5" x14ac:dyDescent="0.2">
      <c r="B18" s="7">
        <f t="shared" si="0"/>
        <v>13</v>
      </c>
      <c r="C18" s="7" t="s">
        <v>32</v>
      </c>
      <c r="D18" s="9" t="s">
        <v>156</v>
      </c>
      <c r="E18" s="8"/>
    </row>
    <row r="19" spans="2:5" x14ac:dyDescent="0.2">
      <c r="B19" s="7">
        <f t="shared" si="0"/>
        <v>14</v>
      </c>
      <c r="C19" s="7" t="s">
        <v>33</v>
      </c>
      <c r="D19" s="9" t="s">
        <v>26</v>
      </c>
      <c r="E19" s="8"/>
    </row>
    <row r="20" spans="2:5" x14ac:dyDescent="0.2">
      <c r="B20" s="7">
        <f t="shared" si="0"/>
        <v>15</v>
      </c>
      <c r="C20" s="7" t="s">
        <v>34</v>
      </c>
      <c r="D20" s="166" t="s">
        <v>384</v>
      </c>
      <c r="E20" s="8"/>
    </row>
    <row r="21" spans="2:5" ht="30" x14ac:dyDescent="0.2">
      <c r="B21" s="7">
        <f t="shared" si="0"/>
        <v>16</v>
      </c>
      <c r="C21" s="7" t="s">
        <v>35</v>
      </c>
      <c r="D21" s="166" t="s">
        <v>385</v>
      </c>
      <c r="E21" s="8"/>
    </row>
    <row r="22" spans="2:5" x14ac:dyDescent="0.2">
      <c r="B22" s="7">
        <f t="shared" si="0"/>
        <v>17</v>
      </c>
      <c r="C22" s="7" t="s">
        <v>164</v>
      </c>
      <c r="D22" s="166" t="s">
        <v>237</v>
      </c>
      <c r="E22" s="8"/>
    </row>
    <row r="23" spans="2:5" x14ac:dyDescent="0.2">
      <c r="B23" s="7">
        <f t="shared" si="0"/>
        <v>18</v>
      </c>
      <c r="C23" s="7" t="s">
        <v>169</v>
      </c>
      <c r="D23" s="166" t="s">
        <v>386</v>
      </c>
      <c r="E23" s="8"/>
    </row>
    <row r="24" spans="2:5" x14ac:dyDescent="0.2">
      <c r="B24" s="7">
        <f t="shared" si="0"/>
        <v>19</v>
      </c>
      <c r="C24" s="7" t="s">
        <v>375</v>
      </c>
      <c r="D24" s="166" t="s">
        <v>228</v>
      </c>
      <c r="E24" s="8"/>
    </row>
    <row r="25" spans="2:5" x14ac:dyDescent="0.2">
      <c r="B25" s="7">
        <f t="shared" si="0"/>
        <v>20</v>
      </c>
      <c r="C25" s="7" t="s">
        <v>222</v>
      </c>
      <c r="D25" s="166" t="s">
        <v>387</v>
      </c>
      <c r="E25" s="8"/>
    </row>
    <row r="26" spans="2:5" x14ac:dyDescent="0.2">
      <c r="B26" s="7">
        <f t="shared" si="0"/>
        <v>21</v>
      </c>
      <c r="C26" s="7" t="s">
        <v>223</v>
      </c>
      <c r="D26" s="9" t="s">
        <v>388</v>
      </c>
      <c r="E26" s="8"/>
    </row>
  </sheetData>
  <mergeCells count="3">
    <mergeCell ref="B1:E1"/>
    <mergeCell ref="B3:E3"/>
    <mergeCell ref="B2:E2"/>
  </mergeCells>
  <phoneticPr fontId="13" type="noConversion"/>
  <pageMargins left="1.3" right="0.23622047244094499" top="1.1023622047244099" bottom="0.98425196850393704" header="0.23622047244094499" footer="0.23622047244094499"/>
  <pageSetup paperSize="9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O56"/>
  <sheetViews>
    <sheetView topLeftCell="A33" zoomScale="93" zoomScaleNormal="93" zoomScaleSheetLayoutView="90" workbookViewId="0">
      <selection activeCell="O53" sqref="O53"/>
    </sheetView>
  </sheetViews>
  <sheetFormatPr defaultColWidth="9.28515625" defaultRowHeight="14.25" x14ac:dyDescent="0.2"/>
  <cols>
    <col min="1" max="1" width="4.28515625" style="5" customWidth="1"/>
    <col min="2" max="2" width="5.140625" style="5" customWidth="1"/>
    <col min="3" max="3" width="30.7109375" style="5" customWidth="1"/>
    <col min="4" max="4" width="8.140625" style="5" customWidth="1"/>
    <col min="5" max="5" width="11.28515625" style="5" customWidth="1"/>
    <col min="6" max="6" width="11.140625" style="5" customWidth="1"/>
    <col min="7" max="7" width="9.5703125" style="5" customWidth="1"/>
    <col min="8" max="8" width="12.28515625" style="5" customWidth="1"/>
    <col min="9" max="9" width="10.7109375" style="5" customWidth="1"/>
    <col min="10" max="10" width="14.140625" style="5" customWidth="1"/>
    <col min="11" max="11" width="11.140625" style="5" customWidth="1"/>
    <col min="12" max="12" width="9.42578125" style="5" customWidth="1"/>
    <col min="13" max="13" width="12.85546875" style="5" customWidth="1"/>
    <col min="14" max="14" width="12.5703125" style="5" customWidth="1"/>
    <col min="15" max="15" width="12.85546875" style="5" customWidth="1"/>
    <col min="16" max="21" width="11.7109375" style="5" bestFit="1" customWidth="1"/>
    <col min="22" max="16384" width="9.28515625" style="5"/>
  </cols>
  <sheetData>
    <row r="1" spans="2:15" ht="6" customHeight="1" x14ac:dyDescent="0.2">
      <c r="B1" s="24"/>
    </row>
    <row r="2" spans="2:15" ht="15" x14ac:dyDescent="0.2">
      <c r="H2" s="32" t="s">
        <v>401</v>
      </c>
      <c r="I2" s="33"/>
    </row>
    <row r="3" spans="2:15" ht="15" x14ac:dyDescent="0.2">
      <c r="H3" s="32" t="s">
        <v>467</v>
      </c>
      <c r="I3" s="33"/>
    </row>
    <row r="4" spans="2:15" ht="15" x14ac:dyDescent="0.2">
      <c r="H4" s="35" t="s">
        <v>272</v>
      </c>
      <c r="I4" s="35"/>
    </row>
    <row r="5" spans="2:15" ht="10.5" customHeight="1" x14ac:dyDescent="0.2">
      <c r="K5" s="35"/>
      <c r="O5" s="32" t="s">
        <v>4</v>
      </c>
    </row>
    <row r="6" spans="2:15" ht="7.5" customHeight="1" thickBot="1" x14ac:dyDescent="0.25">
      <c r="F6" s="148"/>
      <c r="G6" s="148"/>
      <c r="H6" s="148"/>
      <c r="I6" s="148"/>
      <c r="J6" s="148"/>
      <c r="K6" s="148"/>
      <c r="L6" s="148"/>
      <c r="M6" s="148"/>
      <c r="N6" s="148"/>
      <c r="O6" s="148"/>
    </row>
    <row r="7" spans="2:15" ht="15" x14ac:dyDescent="0.2">
      <c r="B7" s="338" t="s">
        <v>403</v>
      </c>
      <c r="C7" s="339"/>
      <c r="D7" s="339"/>
      <c r="E7" s="339"/>
      <c r="F7" s="339"/>
      <c r="G7" s="339"/>
      <c r="H7" s="339"/>
      <c r="I7" s="339"/>
      <c r="J7" s="339"/>
      <c r="K7" s="339"/>
      <c r="L7" s="339"/>
      <c r="M7" s="339"/>
      <c r="N7" s="339"/>
      <c r="O7" s="340"/>
    </row>
    <row r="8" spans="2:15" ht="14.25" customHeight="1" x14ac:dyDescent="0.2">
      <c r="B8" s="341" t="s">
        <v>2</v>
      </c>
      <c r="C8" s="343" t="s">
        <v>265</v>
      </c>
      <c r="D8" s="336" t="s">
        <v>254</v>
      </c>
      <c r="E8" s="336" t="s">
        <v>255</v>
      </c>
      <c r="F8" s="336" t="s">
        <v>256</v>
      </c>
      <c r="G8" s="336"/>
      <c r="H8" s="336"/>
      <c r="I8" s="336"/>
      <c r="J8" s="336" t="s">
        <v>257</v>
      </c>
      <c r="K8" s="336"/>
      <c r="L8" s="336"/>
      <c r="M8" s="336"/>
      <c r="N8" s="336" t="s">
        <v>258</v>
      </c>
      <c r="O8" s="337"/>
    </row>
    <row r="9" spans="2:15" ht="60.75" thickBot="1" x14ac:dyDescent="0.25">
      <c r="B9" s="342"/>
      <c r="C9" s="344"/>
      <c r="D9" s="345"/>
      <c r="E9" s="345"/>
      <c r="F9" s="62" t="s">
        <v>259</v>
      </c>
      <c r="G9" s="62" t="s">
        <v>138</v>
      </c>
      <c r="H9" s="62" t="s">
        <v>260</v>
      </c>
      <c r="I9" s="62" t="s">
        <v>261</v>
      </c>
      <c r="J9" s="62" t="s">
        <v>262</v>
      </c>
      <c r="K9" s="62" t="s">
        <v>138</v>
      </c>
      <c r="L9" s="62" t="s">
        <v>263</v>
      </c>
      <c r="M9" s="62" t="s">
        <v>264</v>
      </c>
      <c r="N9" s="62" t="s">
        <v>259</v>
      </c>
      <c r="O9" s="63" t="s">
        <v>261</v>
      </c>
    </row>
    <row r="10" spans="2:15" x14ac:dyDescent="0.2">
      <c r="B10" s="187">
        <v>1</v>
      </c>
      <c r="C10" s="188" t="s">
        <v>470</v>
      </c>
      <c r="D10" s="187">
        <v>1000</v>
      </c>
      <c r="E10" s="149"/>
      <c r="F10" s="189">
        <v>6.3001116000000001</v>
      </c>
      <c r="G10" s="189">
        <v>0</v>
      </c>
      <c r="H10" s="151"/>
      <c r="I10" s="150">
        <f>F10+G10+H10</f>
        <v>6.3001116000000001</v>
      </c>
      <c r="J10" s="189">
        <v>0</v>
      </c>
      <c r="K10" s="189">
        <v>0</v>
      </c>
      <c r="L10" s="151"/>
      <c r="M10" s="150">
        <f>J10+K10+L10</f>
        <v>0</v>
      </c>
      <c r="N10" s="151">
        <f>+F10-J10</f>
        <v>6.3001116000000001</v>
      </c>
      <c r="O10" s="151">
        <f>+I10-M10</f>
        <v>6.3001116000000001</v>
      </c>
    </row>
    <row r="11" spans="2:15" x14ac:dyDescent="0.2">
      <c r="B11" s="187">
        <v>2</v>
      </c>
      <c r="C11" s="188" t="s">
        <v>471</v>
      </c>
      <c r="D11" s="187">
        <v>1100</v>
      </c>
      <c r="E11" s="149"/>
      <c r="F11" s="189">
        <v>221.35786665300003</v>
      </c>
      <c r="G11" s="189">
        <v>0.192534444</v>
      </c>
      <c r="H11" s="151"/>
      <c r="I11" s="150">
        <f t="shared" ref="I11:I20" si="0">F11+G11+H11</f>
        <v>221.55040109700002</v>
      </c>
      <c r="J11" s="189">
        <v>44.966121837000003</v>
      </c>
      <c r="K11" s="189">
        <v>6.1797543849999998</v>
      </c>
      <c r="L11" s="151"/>
      <c r="M11" s="150">
        <f t="shared" ref="M11:M20" si="1">J11+K11+L11</f>
        <v>51.145876222000005</v>
      </c>
      <c r="N11" s="151">
        <f t="shared" ref="N11:N20" si="2">+F11-J11</f>
        <v>176.39174481600003</v>
      </c>
      <c r="O11" s="151">
        <f t="shared" ref="O11:O20" si="3">+I11-M11</f>
        <v>170.40452487500002</v>
      </c>
    </row>
    <row r="12" spans="2:15" x14ac:dyDescent="0.2">
      <c r="B12" s="187">
        <v>3</v>
      </c>
      <c r="C12" s="188" t="s">
        <v>472</v>
      </c>
      <c r="D12" s="187">
        <v>1200</v>
      </c>
      <c r="E12" s="152"/>
      <c r="F12" s="189">
        <v>350.63779140299999</v>
      </c>
      <c r="G12" s="189">
        <v>0.12130236000000001</v>
      </c>
      <c r="H12" s="151"/>
      <c r="I12" s="150">
        <f t="shared" si="0"/>
        <v>350.75909376300001</v>
      </c>
      <c r="J12" s="189">
        <v>99.023701352000003</v>
      </c>
      <c r="K12" s="189">
        <v>12.697187618000001</v>
      </c>
      <c r="L12" s="151"/>
      <c r="M12" s="150">
        <f t="shared" si="1"/>
        <v>111.72088897</v>
      </c>
      <c r="N12" s="151">
        <f t="shared" si="2"/>
        <v>251.61409005100001</v>
      </c>
      <c r="O12" s="151">
        <f t="shared" si="3"/>
        <v>239.03820479300001</v>
      </c>
    </row>
    <row r="13" spans="2:15" x14ac:dyDescent="0.2">
      <c r="B13" s="187">
        <v>4</v>
      </c>
      <c r="C13" s="188" t="s">
        <v>473</v>
      </c>
      <c r="D13" s="187">
        <v>1300</v>
      </c>
      <c r="E13" s="152"/>
      <c r="F13" s="189">
        <v>4171.7099568040003</v>
      </c>
      <c r="G13" s="189">
        <v>2.8615960380000001</v>
      </c>
      <c r="H13" s="151"/>
      <c r="I13" s="150">
        <f t="shared" si="0"/>
        <v>4174.5715528420005</v>
      </c>
      <c r="J13" s="189">
        <v>1023.5679812460003</v>
      </c>
      <c r="K13" s="189">
        <v>142.54788128600001</v>
      </c>
      <c r="L13" s="151"/>
      <c r="M13" s="150">
        <f t="shared" si="1"/>
        <v>1166.1158625320004</v>
      </c>
      <c r="N13" s="151">
        <f t="shared" si="2"/>
        <v>3148.141975558</v>
      </c>
      <c r="O13" s="151">
        <f t="shared" si="3"/>
        <v>3008.4556903100001</v>
      </c>
    </row>
    <row r="14" spans="2:15" x14ac:dyDescent="0.2">
      <c r="B14" s="187">
        <v>5</v>
      </c>
      <c r="C14" s="188" t="s">
        <v>474</v>
      </c>
      <c r="D14" s="187">
        <v>1400</v>
      </c>
      <c r="E14" s="152"/>
      <c r="F14" s="189">
        <v>7.2319932939999996</v>
      </c>
      <c r="G14" s="189">
        <v>0</v>
      </c>
      <c r="H14" s="151"/>
      <c r="I14" s="150">
        <f>F14+G14+H14</f>
        <v>7.2319932939999996</v>
      </c>
      <c r="J14" s="189">
        <v>0.46787030700000004</v>
      </c>
      <c r="K14" s="189">
        <v>0.342487239</v>
      </c>
      <c r="L14" s="151"/>
      <c r="M14" s="150">
        <f t="shared" si="1"/>
        <v>0.8103575460000001</v>
      </c>
      <c r="N14" s="151">
        <f t="shared" si="2"/>
        <v>6.7641229869999995</v>
      </c>
      <c r="O14" s="151">
        <f t="shared" si="3"/>
        <v>6.4216357479999999</v>
      </c>
    </row>
    <row r="15" spans="2:15" x14ac:dyDescent="0.2">
      <c r="B15" s="187">
        <v>6</v>
      </c>
      <c r="C15" s="188" t="s">
        <v>475</v>
      </c>
      <c r="D15" s="187">
        <v>1500</v>
      </c>
      <c r="E15" s="152"/>
      <c r="F15" s="189">
        <v>246.96378573200002</v>
      </c>
      <c r="G15" s="189">
        <v>0</v>
      </c>
      <c r="H15" s="151"/>
      <c r="I15" s="150">
        <f t="shared" si="0"/>
        <v>246.96378573200002</v>
      </c>
      <c r="J15" s="189">
        <v>69.453497584000004</v>
      </c>
      <c r="K15" s="189">
        <v>7.470572484999999</v>
      </c>
      <c r="L15" s="151"/>
      <c r="M15" s="150">
        <f t="shared" si="1"/>
        <v>76.92407006900001</v>
      </c>
      <c r="N15" s="151">
        <f t="shared" si="2"/>
        <v>177.51028814800003</v>
      </c>
      <c r="O15" s="151">
        <f t="shared" si="3"/>
        <v>170.03971566300001</v>
      </c>
    </row>
    <row r="16" spans="2:15" x14ac:dyDescent="0.2">
      <c r="B16" s="187">
        <v>7</v>
      </c>
      <c r="C16" s="188" t="s">
        <v>476</v>
      </c>
      <c r="D16" s="187">
        <v>1600</v>
      </c>
      <c r="E16" s="152"/>
      <c r="F16" s="189">
        <v>81.75812449099999</v>
      </c>
      <c r="G16" s="189">
        <v>0.121285172</v>
      </c>
      <c r="H16" s="151"/>
      <c r="I16" s="150">
        <f t="shared" si="0"/>
        <v>81.87940966299999</v>
      </c>
      <c r="J16" s="189">
        <v>28.744259312000001</v>
      </c>
      <c r="K16" s="189">
        <v>3.0265485660000002</v>
      </c>
      <c r="L16" s="151"/>
      <c r="M16" s="150">
        <f t="shared" si="1"/>
        <v>31.770807877999999</v>
      </c>
      <c r="N16" s="151">
        <f t="shared" si="2"/>
        <v>53.013865178999993</v>
      </c>
      <c r="O16" s="151">
        <f t="shared" si="3"/>
        <v>50.108601784999991</v>
      </c>
    </row>
    <row r="17" spans="2:15" x14ac:dyDescent="0.2">
      <c r="B17" s="187">
        <v>8</v>
      </c>
      <c r="C17" s="188" t="s">
        <v>477</v>
      </c>
      <c r="D17" s="187">
        <v>1700</v>
      </c>
      <c r="E17" s="152"/>
      <c r="F17" s="189">
        <v>14.954055175999999</v>
      </c>
      <c r="G17" s="189">
        <v>0</v>
      </c>
      <c r="H17" s="151"/>
      <c r="I17" s="150">
        <f t="shared" si="0"/>
        <v>14.954055175999999</v>
      </c>
      <c r="J17" s="189">
        <v>7.5641227830000002</v>
      </c>
      <c r="K17" s="189">
        <v>1.687456611</v>
      </c>
      <c r="L17" s="151"/>
      <c r="M17" s="150">
        <f t="shared" si="1"/>
        <v>9.2515793940000002</v>
      </c>
      <c r="N17" s="151">
        <f t="shared" si="2"/>
        <v>7.3899323929999987</v>
      </c>
      <c r="O17" s="151">
        <f t="shared" si="3"/>
        <v>5.7024757819999987</v>
      </c>
    </row>
    <row r="18" spans="2:15" x14ac:dyDescent="0.2">
      <c r="B18" s="187">
        <v>9</v>
      </c>
      <c r="C18" s="188" t="s">
        <v>478</v>
      </c>
      <c r="D18" s="187">
        <v>1800</v>
      </c>
      <c r="E18" s="152"/>
      <c r="F18" s="189">
        <v>2.2287884920000001</v>
      </c>
      <c r="G18" s="189">
        <v>8.8869167999999998E-2</v>
      </c>
      <c r="H18" s="151"/>
      <c r="I18" s="150">
        <f t="shared" si="0"/>
        <v>2.3176576600000001</v>
      </c>
      <c r="J18" s="189">
        <v>1.4828053189999999</v>
      </c>
      <c r="K18" s="189">
        <v>9.1035448000000005E-2</v>
      </c>
      <c r="L18" s="151"/>
      <c r="M18" s="150">
        <f t="shared" si="1"/>
        <v>1.5738407669999999</v>
      </c>
      <c r="N18" s="151">
        <f t="shared" si="2"/>
        <v>0.74598317300000017</v>
      </c>
      <c r="O18" s="151">
        <f t="shared" si="3"/>
        <v>0.7438168930000002</v>
      </c>
    </row>
    <row r="19" spans="2:15" x14ac:dyDescent="0.2">
      <c r="B19" s="187">
        <v>10</v>
      </c>
      <c r="C19" s="188" t="s">
        <v>409</v>
      </c>
      <c r="D19" s="187">
        <v>1900</v>
      </c>
      <c r="E19" s="152"/>
      <c r="F19" s="189">
        <v>3.6241321049999997</v>
      </c>
      <c r="G19" s="189">
        <v>0</v>
      </c>
      <c r="H19" s="151"/>
      <c r="I19" s="150">
        <f t="shared" si="0"/>
        <v>3.6241321049999997</v>
      </c>
      <c r="J19" s="189">
        <v>3.0195824949999999</v>
      </c>
      <c r="K19" s="189">
        <v>0.27988889</v>
      </c>
      <c r="L19" s="151"/>
      <c r="M19" s="150">
        <f t="shared" si="1"/>
        <v>3.2994713849999999</v>
      </c>
      <c r="N19" s="151">
        <f t="shared" si="2"/>
        <v>0.60454960999999985</v>
      </c>
      <c r="O19" s="151">
        <f t="shared" si="3"/>
        <v>0.32466071999999979</v>
      </c>
    </row>
    <row r="20" spans="2:15" x14ac:dyDescent="0.2">
      <c r="B20" s="187">
        <v>11</v>
      </c>
      <c r="C20" s="188" t="s">
        <v>479</v>
      </c>
      <c r="D20" s="187">
        <v>2100</v>
      </c>
      <c r="E20" s="152"/>
      <c r="F20" s="189">
        <v>2.3633942499999998</v>
      </c>
      <c r="G20" s="189">
        <v>5.6192045999999995E-2</v>
      </c>
      <c r="H20" s="151"/>
      <c r="I20" s="150">
        <f t="shared" si="0"/>
        <v>2.4195862959999999</v>
      </c>
      <c r="J20" s="189">
        <v>1.480057765</v>
      </c>
      <c r="K20" s="189">
        <v>0.417187472</v>
      </c>
      <c r="L20" s="151"/>
      <c r="M20" s="150">
        <f t="shared" si="1"/>
        <v>1.8972452369999999</v>
      </c>
      <c r="N20" s="151">
        <f t="shared" si="2"/>
        <v>0.88333648499999984</v>
      </c>
      <c r="O20" s="151">
        <f t="shared" si="3"/>
        <v>0.52234105899999994</v>
      </c>
    </row>
    <row r="21" spans="2:15" s="46" customFormat="1" ht="15.75" thickBot="1" x14ac:dyDescent="0.25">
      <c r="B21" s="164"/>
      <c r="C21" s="165" t="s">
        <v>139</v>
      </c>
      <c r="D21" s="165"/>
      <c r="E21" s="162">
        <f>IFERROR((K21-L21)/AVERAGE(F21,I21),0)</f>
        <v>3.4190007532993533E-2</v>
      </c>
      <c r="F21" s="161">
        <f>ROUND(SUM(F10:F20),2)</f>
        <v>5109.13</v>
      </c>
      <c r="G21" s="161">
        <f t="shared" ref="G21:O21" si="4">ROUND(SUM(G10:G20),2)</f>
        <v>3.44</v>
      </c>
      <c r="H21" s="161">
        <f t="shared" si="4"/>
        <v>0</v>
      </c>
      <c r="I21" s="161">
        <f t="shared" si="4"/>
        <v>5112.57</v>
      </c>
      <c r="J21" s="161">
        <f t="shared" si="4"/>
        <v>1279.77</v>
      </c>
      <c r="K21" s="161">
        <f t="shared" si="4"/>
        <v>174.74</v>
      </c>
      <c r="L21" s="161">
        <f t="shared" si="4"/>
        <v>0</v>
      </c>
      <c r="M21" s="161">
        <f t="shared" si="4"/>
        <v>1454.51</v>
      </c>
      <c r="N21" s="161">
        <f t="shared" si="4"/>
        <v>3829.36</v>
      </c>
      <c r="O21" s="161">
        <f t="shared" si="4"/>
        <v>3658.06</v>
      </c>
    </row>
    <row r="22" spans="2:15" ht="15" thickBot="1" x14ac:dyDescent="0.25">
      <c r="F22" s="163"/>
      <c r="G22" s="163"/>
      <c r="H22" s="163"/>
      <c r="I22" s="163"/>
      <c r="J22" s="163"/>
      <c r="K22" s="163"/>
      <c r="L22" s="163"/>
      <c r="M22" s="163"/>
      <c r="N22" s="163"/>
      <c r="O22" s="163"/>
    </row>
    <row r="23" spans="2:15" ht="15" x14ac:dyDescent="0.2">
      <c r="B23" s="338" t="s">
        <v>404</v>
      </c>
      <c r="C23" s="339"/>
      <c r="D23" s="339"/>
      <c r="E23" s="339"/>
      <c r="F23" s="339"/>
      <c r="G23" s="339"/>
      <c r="H23" s="339"/>
      <c r="I23" s="339"/>
      <c r="J23" s="339"/>
      <c r="K23" s="339"/>
      <c r="L23" s="339"/>
      <c r="M23" s="339"/>
      <c r="N23" s="339"/>
      <c r="O23" s="340"/>
    </row>
    <row r="24" spans="2:15" ht="15" x14ac:dyDescent="0.2">
      <c r="B24" s="341" t="s">
        <v>2</v>
      </c>
      <c r="C24" s="343" t="s">
        <v>265</v>
      </c>
      <c r="D24" s="336" t="s">
        <v>254</v>
      </c>
      <c r="E24" s="336" t="s">
        <v>255</v>
      </c>
      <c r="F24" s="336" t="s">
        <v>256</v>
      </c>
      <c r="G24" s="336"/>
      <c r="H24" s="336"/>
      <c r="I24" s="336"/>
      <c r="J24" s="336" t="s">
        <v>257</v>
      </c>
      <c r="K24" s="336"/>
      <c r="L24" s="336"/>
      <c r="M24" s="336"/>
      <c r="N24" s="336" t="s">
        <v>258</v>
      </c>
      <c r="O24" s="337"/>
    </row>
    <row r="25" spans="2:15" ht="60.75" thickBot="1" x14ac:dyDescent="0.25">
      <c r="B25" s="342"/>
      <c r="C25" s="344"/>
      <c r="D25" s="345"/>
      <c r="E25" s="345"/>
      <c r="F25" s="62" t="s">
        <v>259</v>
      </c>
      <c r="G25" s="62" t="s">
        <v>138</v>
      </c>
      <c r="H25" s="62" t="s">
        <v>260</v>
      </c>
      <c r="I25" s="62" t="s">
        <v>261</v>
      </c>
      <c r="J25" s="62" t="s">
        <v>262</v>
      </c>
      <c r="K25" s="62" t="s">
        <v>138</v>
      </c>
      <c r="L25" s="62" t="s">
        <v>263</v>
      </c>
      <c r="M25" s="62" t="s">
        <v>264</v>
      </c>
      <c r="N25" s="62" t="s">
        <v>259</v>
      </c>
      <c r="O25" s="63" t="s">
        <v>261</v>
      </c>
    </row>
    <row r="26" spans="2:15" x14ac:dyDescent="0.2">
      <c r="B26" s="187">
        <v>1</v>
      </c>
      <c r="C26" s="188" t="s">
        <v>470</v>
      </c>
      <c r="D26" s="187">
        <v>1000</v>
      </c>
      <c r="E26" s="149"/>
      <c r="F26" s="151">
        <f t="shared" ref="F26:F36" si="5">I10</f>
        <v>6.3001116000000001</v>
      </c>
      <c r="G26" s="151"/>
      <c r="H26" s="151"/>
      <c r="I26" s="150">
        <f>F26+G26+H26</f>
        <v>6.3001116000000001</v>
      </c>
      <c r="J26" s="151">
        <f t="shared" ref="J26:J36" si="6">M10</f>
        <v>0</v>
      </c>
      <c r="K26" s="189">
        <v>0</v>
      </c>
      <c r="L26" s="151"/>
      <c r="M26" s="150">
        <f>J26+K26+L26</f>
        <v>0</v>
      </c>
      <c r="N26" s="151">
        <f>+F26-J26</f>
        <v>6.3001116000000001</v>
      </c>
      <c r="O26" s="151">
        <f>+I26-M26</f>
        <v>6.3001116000000001</v>
      </c>
    </row>
    <row r="27" spans="2:15" x14ac:dyDescent="0.2">
      <c r="B27" s="187">
        <v>2</v>
      </c>
      <c r="C27" s="188" t="s">
        <v>471</v>
      </c>
      <c r="D27" s="187">
        <v>1100</v>
      </c>
      <c r="E27" s="149"/>
      <c r="F27" s="151">
        <f t="shared" si="5"/>
        <v>221.55040109700002</v>
      </c>
      <c r="G27" s="151"/>
      <c r="H27" s="151"/>
      <c r="I27" s="150">
        <f t="shared" ref="I27:I36" si="7">F27+G27+H27</f>
        <v>221.55040109700002</v>
      </c>
      <c r="J27" s="151">
        <f t="shared" si="6"/>
        <v>51.145876222000005</v>
      </c>
      <c r="K27" s="189">
        <v>6.1797543849999998</v>
      </c>
      <c r="L27" s="151"/>
      <c r="M27" s="150">
        <f t="shared" ref="M27:M36" si="8">J27+K27+L27</f>
        <v>57.325630607000008</v>
      </c>
      <c r="N27" s="151">
        <f t="shared" ref="N27:N36" si="9">+F27-J27</f>
        <v>170.40452487500002</v>
      </c>
      <c r="O27" s="151">
        <f t="shared" ref="O27:O36" si="10">+I27-M27</f>
        <v>164.22477049000003</v>
      </c>
    </row>
    <row r="28" spans="2:15" x14ac:dyDescent="0.2">
      <c r="B28" s="187">
        <v>3</v>
      </c>
      <c r="C28" s="188" t="s">
        <v>472</v>
      </c>
      <c r="D28" s="187">
        <v>1200</v>
      </c>
      <c r="E28" s="152"/>
      <c r="F28" s="151">
        <f t="shared" si="5"/>
        <v>350.75909376300001</v>
      </c>
      <c r="G28" s="151"/>
      <c r="H28" s="151"/>
      <c r="I28" s="150">
        <f t="shared" si="7"/>
        <v>350.75909376300001</v>
      </c>
      <c r="J28" s="151">
        <f t="shared" si="6"/>
        <v>111.72088897</v>
      </c>
      <c r="K28" s="189">
        <v>12.697187618000001</v>
      </c>
      <c r="L28" s="151"/>
      <c r="M28" s="150">
        <f t="shared" si="8"/>
        <v>124.41807658800001</v>
      </c>
      <c r="N28" s="151">
        <f t="shared" si="9"/>
        <v>239.03820479300001</v>
      </c>
      <c r="O28" s="151">
        <f t="shared" si="10"/>
        <v>226.34101717499999</v>
      </c>
    </row>
    <row r="29" spans="2:15" x14ac:dyDescent="0.2">
      <c r="B29" s="187">
        <v>4</v>
      </c>
      <c r="C29" s="188" t="s">
        <v>473</v>
      </c>
      <c r="D29" s="187">
        <v>1300</v>
      </c>
      <c r="E29" s="152"/>
      <c r="F29" s="151">
        <f t="shared" si="5"/>
        <v>4174.5715528420005</v>
      </c>
      <c r="G29" s="151"/>
      <c r="H29" s="151"/>
      <c r="I29" s="150">
        <f t="shared" si="7"/>
        <v>4174.5715528420005</v>
      </c>
      <c r="J29" s="151">
        <f t="shared" si="6"/>
        <v>1166.1158625320004</v>
      </c>
      <c r="K29" s="189">
        <v>142.62788128599999</v>
      </c>
      <c r="L29" s="151"/>
      <c r="M29" s="150">
        <f t="shared" si="8"/>
        <v>1308.7437438180004</v>
      </c>
      <c r="N29" s="151">
        <f t="shared" si="9"/>
        <v>3008.4556903100001</v>
      </c>
      <c r="O29" s="151">
        <f t="shared" si="10"/>
        <v>2865.8278090240001</v>
      </c>
    </row>
    <row r="30" spans="2:15" x14ac:dyDescent="0.2">
      <c r="B30" s="187">
        <v>5</v>
      </c>
      <c r="C30" s="188" t="s">
        <v>474</v>
      </c>
      <c r="D30" s="187">
        <v>1400</v>
      </c>
      <c r="E30" s="152"/>
      <c r="F30" s="151">
        <f t="shared" si="5"/>
        <v>7.2319932939999996</v>
      </c>
      <c r="G30" s="151"/>
      <c r="H30" s="151"/>
      <c r="I30" s="150">
        <f t="shared" si="7"/>
        <v>7.2319932939999996</v>
      </c>
      <c r="J30" s="151">
        <f t="shared" si="6"/>
        <v>0.8103575460000001</v>
      </c>
      <c r="K30" s="189">
        <v>0.342487239</v>
      </c>
      <c r="L30" s="151"/>
      <c r="M30" s="150">
        <f t="shared" si="8"/>
        <v>1.1528447850000001</v>
      </c>
      <c r="N30" s="151">
        <f t="shared" si="9"/>
        <v>6.4216357479999999</v>
      </c>
      <c r="O30" s="151">
        <f t="shared" si="10"/>
        <v>6.0791485089999995</v>
      </c>
    </row>
    <row r="31" spans="2:15" x14ac:dyDescent="0.2">
      <c r="B31" s="187">
        <v>6</v>
      </c>
      <c r="C31" s="188" t="s">
        <v>475</v>
      </c>
      <c r="D31" s="187">
        <v>1500</v>
      </c>
      <c r="E31" s="152"/>
      <c r="F31" s="151">
        <f t="shared" si="5"/>
        <v>246.96378573200002</v>
      </c>
      <c r="G31" s="151"/>
      <c r="H31" s="151"/>
      <c r="I31" s="150">
        <f t="shared" si="7"/>
        <v>246.96378573200002</v>
      </c>
      <c r="J31" s="151">
        <f t="shared" si="6"/>
        <v>76.92407006900001</v>
      </c>
      <c r="K31" s="189">
        <v>7.470572484999999</v>
      </c>
      <c r="L31" s="151"/>
      <c r="M31" s="150">
        <f t="shared" si="8"/>
        <v>84.394642554000015</v>
      </c>
      <c r="N31" s="151">
        <f t="shared" si="9"/>
        <v>170.03971566300001</v>
      </c>
      <c r="O31" s="151">
        <f t="shared" si="10"/>
        <v>162.56914317799999</v>
      </c>
    </row>
    <row r="32" spans="2:15" x14ac:dyDescent="0.2">
      <c r="B32" s="187">
        <v>7</v>
      </c>
      <c r="C32" s="188" t="s">
        <v>476</v>
      </c>
      <c r="D32" s="187">
        <v>1600</v>
      </c>
      <c r="E32" s="152"/>
      <c r="F32" s="151">
        <f t="shared" si="5"/>
        <v>81.87940966299999</v>
      </c>
      <c r="G32" s="151"/>
      <c r="H32" s="151"/>
      <c r="I32" s="150">
        <f t="shared" si="7"/>
        <v>81.87940966299999</v>
      </c>
      <c r="J32" s="151">
        <f t="shared" si="6"/>
        <v>31.770807877999999</v>
      </c>
      <c r="K32" s="189">
        <v>3.0265485660000002</v>
      </c>
      <c r="L32" s="151"/>
      <c r="M32" s="150">
        <f t="shared" si="8"/>
        <v>34.797356444000002</v>
      </c>
      <c r="N32" s="151">
        <f t="shared" si="9"/>
        <v>50.108601784999991</v>
      </c>
      <c r="O32" s="151">
        <f t="shared" si="10"/>
        <v>47.082053218999988</v>
      </c>
    </row>
    <row r="33" spans="2:15" x14ac:dyDescent="0.2">
      <c r="B33" s="187">
        <v>8</v>
      </c>
      <c r="C33" s="188" t="s">
        <v>477</v>
      </c>
      <c r="D33" s="187">
        <v>1700</v>
      </c>
      <c r="E33" s="152"/>
      <c r="F33" s="151">
        <f t="shared" si="5"/>
        <v>14.954055175999999</v>
      </c>
      <c r="G33" s="151"/>
      <c r="H33" s="151"/>
      <c r="I33" s="150">
        <f t="shared" si="7"/>
        <v>14.954055175999999</v>
      </c>
      <c r="J33" s="151">
        <f t="shared" si="6"/>
        <v>9.2515793940000002</v>
      </c>
      <c r="K33" s="189">
        <v>1.687456611</v>
      </c>
      <c r="L33" s="151"/>
      <c r="M33" s="150">
        <f t="shared" si="8"/>
        <v>10.939036005</v>
      </c>
      <c r="N33" s="151">
        <f t="shared" si="9"/>
        <v>5.7024757819999987</v>
      </c>
      <c r="O33" s="151">
        <f t="shared" si="10"/>
        <v>4.0150191709999987</v>
      </c>
    </row>
    <row r="34" spans="2:15" x14ac:dyDescent="0.2">
      <c r="B34" s="187">
        <v>9</v>
      </c>
      <c r="C34" s="188" t="s">
        <v>478</v>
      </c>
      <c r="D34" s="187">
        <v>1800</v>
      </c>
      <c r="E34" s="152"/>
      <c r="F34" s="151">
        <f t="shared" si="5"/>
        <v>2.3176576600000001</v>
      </c>
      <c r="G34" s="151"/>
      <c r="H34" s="151"/>
      <c r="I34" s="150">
        <f t="shared" si="7"/>
        <v>2.3176576600000001</v>
      </c>
      <c r="J34" s="151">
        <f t="shared" si="6"/>
        <v>1.5738407669999999</v>
      </c>
      <c r="K34" s="189">
        <v>9.1035448000000005E-2</v>
      </c>
      <c r="L34" s="151"/>
      <c r="M34" s="150">
        <f t="shared" si="8"/>
        <v>1.6648762149999998</v>
      </c>
      <c r="N34" s="151">
        <f t="shared" si="9"/>
        <v>0.7438168930000002</v>
      </c>
      <c r="O34" s="151">
        <f t="shared" si="10"/>
        <v>0.65278144500000024</v>
      </c>
    </row>
    <row r="35" spans="2:15" x14ac:dyDescent="0.2">
      <c r="B35" s="187">
        <v>10</v>
      </c>
      <c r="C35" s="188" t="s">
        <v>409</v>
      </c>
      <c r="D35" s="187">
        <v>1900</v>
      </c>
      <c r="E35" s="152"/>
      <c r="F35" s="151">
        <f t="shared" si="5"/>
        <v>3.6241321049999997</v>
      </c>
      <c r="G35" s="151"/>
      <c r="H35" s="151"/>
      <c r="I35" s="150">
        <f t="shared" si="7"/>
        <v>3.6241321049999997</v>
      </c>
      <c r="J35" s="151">
        <f t="shared" si="6"/>
        <v>3.2994713849999999</v>
      </c>
      <c r="K35" s="189">
        <v>0.27988889</v>
      </c>
      <c r="L35" s="151"/>
      <c r="M35" s="150">
        <f t="shared" si="8"/>
        <v>3.579360275</v>
      </c>
      <c r="N35" s="151">
        <f t="shared" si="9"/>
        <v>0.32466071999999979</v>
      </c>
      <c r="O35" s="151">
        <f t="shared" si="10"/>
        <v>4.4771829999999735E-2</v>
      </c>
    </row>
    <row r="36" spans="2:15" x14ac:dyDescent="0.2">
      <c r="B36" s="187">
        <v>11</v>
      </c>
      <c r="C36" s="188" t="s">
        <v>479</v>
      </c>
      <c r="D36" s="187">
        <v>2100</v>
      </c>
      <c r="E36" s="152"/>
      <c r="F36" s="151">
        <f t="shared" si="5"/>
        <v>2.4195862959999999</v>
      </c>
      <c r="G36" s="151"/>
      <c r="H36" s="151"/>
      <c r="I36" s="150">
        <f t="shared" si="7"/>
        <v>2.4195862959999999</v>
      </c>
      <c r="J36" s="151">
        <f t="shared" si="6"/>
        <v>1.8972452369999999</v>
      </c>
      <c r="K36" s="189">
        <v>0.417187472</v>
      </c>
      <c r="L36" s="151"/>
      <c r="M36" s="150">
        <f t="shared" si="8"/>
        <v>2.3144327090000001</v>
      </c>
      <c r="N36" s="151">
        <f t="shared" si="9"/>
        <v>0.52234105899999994</v>
      </c>
      <c r="O36" s="151">
        <f t="shared" si="10"/>
        <v>0.10515358699999977</v>
      </c>
    </row>
    <row r="37" spans="2:15" s="46" customFormat="1" ht="15.75" thickBot="1" x14ac:dyDescent="0.25">
      <c r="B37" s="164"/>
      <c r="C37" s="165" t="s">
        <v>139</v>
      </c>
      <c r="D37" s="165"/>
      <c r="E37" s="162">
        <f>IFERROR((K37-L37)/AVERAGE(F37,I37),0)</f>
        <v>3.4194152842895058E-2</v>
      </c>
      <c r="F37" s="161">
        <f>ROUND(SUM(F26:F36),2)</f>
        <v>5112.57</v>
      </c>
      <c r="G37" s="161">
        <f t="shared" ref="G37:O37" si="11">ROUND(SUM(G26:G36),2)</f>
        <v>0</v>
      </c>
      <c r="H37" s="161">
        <f t="shared" si="11"/>
        <v>0</v>
      </c>
      <c r="I37" s="161">
        <f t="shared" si="11"/>
        <v>5112.57</v>
      </c>
      <c r="J37" s="161">
        <f t="shared" si="11"/>
        <v>1454.51</v>
      </c>
      <c r="K37" s="161">
        <f t="shared" si="11"/>
        <v>174.82</v>
      </c>
      <c r="L37" s="161">
        <f t="shared" si="11"/>
        <v>0</v>
      </c>
      <c r="M37" s="161">
        <f t="shared" si="11"/>
        <v>1629.33</v>
      </c>
      <c r="N37" s="161">
        <f t="shared" si="11"/>
        <v>3658.06</v>
      </c>
      <c r="O37" s="161">
        <f t="shared" si="11"/>
        <v>3483.24</v>
      </c>
    </row>
    <row r="38" spans="2:15" ht="15" thickBot="1" x14ac:dyDescent="0.25">
      <c r="K38" s="163"/>
    </row>
    <row r="39" spans="2:15" ht="15" x14ac:dyDescent="0.2">
      <c r="B39" s="338" t="s">
        <v>465</v>
      </c>
      <c r="C39" s="339"/>
      <c r="D39" s="339"/>
      <c r="E39" s="339"/>
      <c r="F39" s="339"/>
      <c r="G39" s="339"/>
      <c r="H39" s="339"/>
      <c r="I39" s="339"/>
      <c r="J39" s="339"/>
      <c r="K39" s="339"/>
      <c r="L39" s="339"/>
      <c r="M39" s="339"/>
      <c r="N39" s="339"/>
      <c r="O39" s="340"/>
    </row>
    <row r="40" spans="2:15" ht="15" x14ac:dyDescent="0.2">
      <c r="B40" s="341" t="s">
        <v>2</v>
      </c>
      <c r="C40" s="343" t="s">
        <v>265</v>
      </c>
      <c r="D40" s="336" t="s">
        <v>254</v>
      </c>
      <c r="E40" s="336" t="s">
        <v>255</v>
      </c>
      <c r="F40" s="336" t="s">
        <v>256</v>
      </c>
      <c r="G40" s="336"/>
      <c r="H40" s="336"/>
      <c r="I40" s="336"/>
      <c r="J40" s="336" t="s">
        <v>257</v>
      </c>
      <c r="K40" s="336"/>
      <c r="L40" s="336"/>
      <c r="M40" s="336"/>
      <c r="N40" s="336" t="s">
        <v>258</v>
      </c>
      <c r="O40" s="337"/>
    </row>
    <row r="41" spans="2:15" ht="60.75" thickBot="1" x14ac:dyDescent="0.25">
      <c r="B41" s="342"/>
      <c r="C41" s="344"/>
      <c r="D41" s="345"/>
      <c r="E41" s="345"/>
      <c r="F41" s="62" t="s">
        <v>259</v>
      </c>
      <c r="G41" s="62" t="s">
        <v>138</v>
      </c>
      <c r="H41" s="62" t="s">
        <v>260</v>
      </c>
      <c r="I41" s="62" t="s">
        <v>261</v>
      </c>
      <c r="J41" s="62" t="s">
        <v>262</v>
      </c>
      <c r="K41" s="62" t="s">
        <v>138</v>
      </c>
      <c r="L41" s="62" t="s">
        <v>263</v>
      </c>
      <c r="M41" s="62" t="s">
        <v>264</v>
      </c>
      <c r="N41" s="62" t="s">
        <v>259</v>
      </c>
      <c r="O41" s="63" t="s">
        <v>261</v>
      </c>
    </row>
    <row r="42" spans="2:15" x14ac:dyDescent="0.2">
      <c r="B42" s="187">
        <v>1</v>
      </c>
      <c r="C42" s="188" t="s">
        <v>470</v>
      </c>
      <c r="D42" s="187">
        <v>1000</v>
      </c>
      <c r="E42" s="149"/>
      <c r="F42" s="151">
        <f t="shared" ref="F42:F52" si="12">I26</f>
        <v>6.3001116000000001</v>
      </c>
      <c r="G42" s="151"/>
      <c r="H42" s="151"/>
      <c r="I42" s="150">
        <f>F42+G42+H42</f>
        <v>6.3001116000000001</v>
      </c>
      <c r="J42" s="151">
        <f t="shared" ref="J42:J52" si="13">M26</f>
        <v>0</v>
      </c>
      <c r="K42" s="189">
        <v>0</v>
      </c>
      <c r="L42" s="151"/>
      <c r="M42" s="150">
        <f>J42+K42+L42</f>
        <v>0</v>
      </c>
      <c r="N42" s="151">
        <f>+F42-J42</f>
        <v>6.3001116000000001</v>
      </c>
      <c r="O42" s="151">
        <f>+I42-M42</f>
        <v>6.3001116000000001</v>
      </c>
    </row>
    <row r="43" spans="2:15" x14ac:dyDescent="0.2">
      <c r="B43" s="187">
        <v>2</v>
      </c>
      <c r="C43" s="188" t="s">
        <v>471</v>
      </c>
      <c r="D43" s="187">
        <v>1100</v>
      </c>
      <c r="E43" s="149"/>
      <c r="F43" s="151">
        <f t="shared" si="12"/>
        <v>221.55040109700002</v>
      </c>
      <c r="G43" s="151"/>
      <c r="H43" s="151"/>
      <c r="I43" s="150">
        <f t="shared" ref="I43:I52" si="14">F43+G43+H43</f>
        <v>221.55040109700002</v>
      </c>
      <c r="J43" s="151">
        <f t="shared" si="13"/>
        <v>57.325630607000008</v>
      </c>
      <c r="K43" s="189">
        <v>6.1797543849999998</v>
      </c>
      <c r="L43" s="151"/>
      <c r="M43" s="150">
        <f t="shared" ref="M43:M52" si="15">J43+K43+L43</f>
        <v>63.50538499200001</v>
      </c>
      <c r="N43" s="151">
        <f t="shared" ref="N43:N52" si="16">+F43-J43</f>
        <v>164.22477049000003</v>
      </c>
      <c r="O43" s="151">
        <f t="shared" ref="O43:O52" si="17">+I43-M43</f>
        <v>158.045016105</v>
      </c>
    </row>
    <row r="44" spans="2:15" x14ac:dyDescent="0.2">
      <c r="B44" s="187">
        <v>3</v>
      </c>
      <c r="C44" s="188" t="s">
        <v>472</v>
      </c>
      <c r="D44" s="187">
        <v>1200</v>
      </c>
      <c r="E44" s="152"/>
      <c r="F44" s="151">
        <f t="shared" si="12"/>
        <v>350.75909376300001</v>
      </c>
      <c r="G44" s="151"/>
      <c r="H44" s="151"/>
      <c r="I44" s="150">
        <f t="shared" si="14"/>
        <v>350.75909376300001</v>
      </c>
      <c r="J44" s="151">
        <f t="shared" si="13"/>
        <v>124.41807658800001</v>
      </c>
      <c r="K44" s="189">
        <v>12.697187618000001</v>
      </c>
      <c r="L44" s="151"/>
      <c r="M44" s="150">
        <f t="shared" si="15"/>
        <v>137.11526420600001</v>
      </c>
      <c r="N44" s="151">
        <f t="shared" si="16"/>
        <v>226.34101717499999</v>
      </c>
      <c r="O44" s="151">
        <f t="shared" si="17"/>
        <v>213.643829557</v>
      </c>
    </row>
    <row r="45" spans="2:15" x14ac:dyDescent="0.2">
      <c r="B45" s="187">
        <v>4</v>
      </c>
      <c r="C45" s="188" t="s">
        <v>473</v>
      </c>
      <c r="D45" s="187">
        <v>1300</v>
      </c>
      <c r="E45" s="152"/>
      <c r="F45" s="151">
        <f t="shared" si="12"/>
        <v>4174.5715528420005</v>
      </c>
      <c r="G45" s="151">
        <v>4.97</v>
      </c>
      <c r="H45" s="151"/>
      <c r="I45" s="150">
        <f t="shared" si="14"/>
        <v>4179.5415528420008</v>
      </c>
      <c r="J45" s="151">
        <f t="shared" si="13"/>
        <v>1308.7437438180004</v>
      </c>
      <c r="K45" s="189">
        <v>143.45788128599997</v>
      </c>
      <c r="L45" s="151"/>
      <c r="M45" s="150">
        <f t="shared" si="15"/>
        <v>1452.2016251040004</v>
      </c>
      <c r="N45" s="151">
        <f t="shared" si="16"/>
        <v>2865.8278090240001</v>
      </c>
      <c r="O45" s="151">
        <f t="shared" si="17"/>
        <v>2727.3399277380004</v>
      </c>
    </row>
    <row r="46" spans="2:15" x14ac:dyDescent="0.2">
      <c r="B46" s="187">
        <v>5</v>
      </c>
      <c r="C46" s="188" t="s">
        <v>474</v>
      </c>
      <c r="D46" s="187">
        <v>1400</v>
      </c>
      <c r="E46" s="152"/>
      <c r="F46" s="151">
        <f t="shared" si="12"/>
        <v>7.2319932939999996</v>
      </c>
      <c r="G46" s="151"/>
      <c r="H46" s="151"/>
      <c r="I46" s="150">
        <f t="shared" si="14"/>
        <v>7.2319932939999996</v>
      </c>
      <c r="J46" s="151">
        <f t="shared" si="13"/>
        <v>1.1528447850000001</v>
      </c>
      <c r="K46" s="189">
        <v>0.342487239</v>
      </c>
      <c r="L46" s="151"/>
      <c r="M46" s="150">
        <f t="shared" si="15"/>
        <v>1.4953320240000001</v>
      </c>
      <c r="N46" s="151">
        <f t="shared" si="16"/>
        <v>6.0791485089999995</v>
      </c>
      <c r="O46" s="151">
        <f t="shared" si="17"/>
        <v>5.736661269999999</v>
      </c>
    </row>
    <row r="47" spans="2:15" x14ac:dyDescent="0.2">
      <c r="B47" s="187">
        <v>6</v>
      </c>
      <c r="C47" s="188" t="s">
        <v>475</v>
      </c>
      <c r="D47" s="187">
        <v>1500</v>
      </c>
      <c r="E47" s="152"/>
      <c r="F47" s="151">
        <f t="shared" si="12"/>
        <v>246.96378573200002</v>
      </c>
      <c r="G47" s="151"/>
      <c r="H47" s="151"/>
      <c r="I47" s="150">
        <f t="shared" si="14"/>
        <v>246.96378573200002</v>
      </c>
      <c r="J47" s="151">
        <f t="shared" si="13"/>
        <v>84.394642554000015</v>
      </c>
      <c r="K47" s="189">
        <v>7.470572484999999</v>
      </c>
      <c r="L47" s="151"/>
      <c r="M47" s="150">
        <f t="shared" si="15"/>
        <v>91.86521503900002</v>
      </c>
      <c r="N47" s="151">
        <f t="shared" si="16"/>
        <v>162.56914317799999</v>
      </c>
      <c r="O47" s="151">
        <f t="shared" si="17"/>
        <v>155.098570693</v>
      </c>
    </row>
    <row r="48" spans="2:15" x14ac:dyDescent="0.2">
      <c r="B48" s="187">
        <v>7</v>
      </c>
      <c r="C48" s="188" t="s">
        <v>476</v>
      </c>
      <c r="D48" s="187">
        <v>1600</v>
      </c>
      <c r="E48" s="152"/>
      <c r="F48" s="151">
        <f t="shared" si="12"/>
        <v>81.87940966299999</v>
      </c>
      <c r="G48" s="151"/>
      <c r="H48" s="151"/>
      <c r="I48" s="150">
        <f t="shared" si="14"/>
        <v>81.87940966299999</v>
      </c>
      <c r="J48" s="151">
        <f t="shared" si="13"/>
        <v>34.797356444000002</v>
      </c>
      <c r="K48" s="189">
        <v>3.0265485660000002</v>
      </c>
      <c r="L48" s="151"/>
      <c r="M48" s="150">
        <f t="shared" si="15"/>
        <v>37.823905010000004</v>
      </c>
      <c r="N48" s="151">
        <f t="shared" si="16"/>
        <v>47.082053218999988</v>
      </c>
      <c r="O48" s="151">
        <f t="shared" si="17"/>
        <v>44.055504652999986</v>
      </c>
    </row>
    <row r="49" spans="2:15" x14ac:dyDescent="0.2">
      <c r="B49" s="187">
        <v>8</v>
      </c>
      <c r="C49" s="188" t="s">
        <v>477</v>
      </c>
      <c r="D49" s="187">
        <v>1700</v>
      </c>
      <c r="E49" s="152"/>
      <c r="F49" s="151">
        <f t="shared" si="12"/>
        <v>14.954055175999999</v>
      </c>
      <c r="G49" s="151"/>
      <c r="H49" s="151"/>
      <c r="I49" s="150">
        <f t="shared" si="14"/>
        <v>14.954055175999999</v>
      </c>
      <c r="J49" s="151">
        <f t="shared" si="13"/>
        <v>10.939036005</v>
      </c>
      <c r="K49" s="189">
        <v>1.687456611</v>
      </c>
      <c r="L49" s="151"/>
      <c r="M49" s="150">
        <f t="shared" si="15"/>
        <v>12.626492616</v>
      </c>
      <c r="N49" s="151">
        <f t="shared" si="16"/>
        <v>4.0150191709999987</v>
      </c>
      <c r="O49" s="151">
        <f t="shared" si="17"/>
        <v>2.3275625599999987</v>
      </c>
    </row>
    <row r="50" spans="2:15" x14ac:dyDescent="0.2">
      <c r="B50" s="187">
        <v>9</v>
      </c>
      <c r="C50" s="188" t="s">
        <v>478</v>
      </c>
      <c r="D50" s="187">
        <v>1800</v>
      </c>
      <c r="E50" s="152"/>
      <c r="F50" s="151">
        <f t="shared" si="12"/>
        <v>2.3176576600000001</v>
      </c>
      <c r="G50" s="151"/>
      <c r="H50" s="151"/>
      <c r="I50" s="150">
        <f t="shared" si="14"/>
        <v>2.3176576600000001</v>
      </c>
      <c r="J50" s="151">
        <f t="shared" si="13"/>
        <v>1.6648762149999998</v>
      </c>
      <c r="K50" s="189">
        <v>9.1035448000000005E-2</v>
      </c>
      <c r="L50" s="151"/>
      <c r="M50" s="150">
        <f t="shared" si="15"/>
        <v>1.7559116629999998</v>
      </c>
      <c r="N50" s="151">
        <f t="shared" si="16"/>
        <v>0.65278144500000024</v>
      </c>
      <c r="O50" s="151">
        <f t="shared" si="17"/>
        <v>0.56174599700000027</v>
      </c>
    </row>
    <row r="51" spans="2:15" x14ac:dyDescent="0.2">
      <c r="B51" s="187">
        <v>10</v>
      </c>
      <c r="C51" s="188" t="s">
        <v>409</v>
      </c>
      <c r="D51" s="187">
        <v>1900</v>
      </c>
      <c r="E51" s="152"/>
      <c r="F51" s="151">
        <f t="shared" si="12"/>
        <v>3.6241321049999997</v>
      </c>
      <c r="G51" s="151"/>
      <c r="H51" s="151"/>
      <c r="I51" s="150">
        <f t="shared" si="14"/>
        <v>3.6241321049999997</v>
      </c>
      <c r="J51" s="151">
        <f t="shared" si="13"/>
        <v>3.579360275</v>
      </c>
      <c r="K51" s="189"/>
      <c r="L51" s="151"/>
      <c r="M51" s="150">
        <f t="shared" si="15"/>
        <v>3.579360275</v>
      </c>
      <c r="N51" s="151">
        <f t="shared" si="16"/>
        <v>4.4771829999999735E-2</v>
      </c>
      <c r="O51" s="151">
        <f t="shared" si="17"/>
        <v>4.4771829999999735E-2</v>
      </c>
    </row>
    <row r="52" spans="2:15" x14ac:dyDescent="0.2">
      <c r="B52" s="187">
        <v>11</v>
      </c>
      <c r="C52" s="188" t="s">
        <v>479</v>
      </c>
      <c r="D52" s="187">
        <v>2100</v>
      </c>
      <c r="E52" s="152"/>
      <c r="F52" s="151">
        <f t="shared" si="12"/>
        <v>2.4195862959999999</v>
      </c>
      <c r="G52" s="151"/>
      <c r="H52" s="151"/>
      <c r="I52" s="150">
        <f t="shared" si="14"/>
        <v>2.4195862959999999</v>
      </c>
      <c r="J52" s="151">
        <f t="shared" si="13"/>
        <v>2.3144327090000001</v>
      </c>
      <c r="K52" s="189"/>
      <c r="L52" s="151"/>
      <c r="M52" s="150">
        <f t="shared" si="15"/>
        <v>2.3144327090000001</v>
      </c>
      <c r="N52" s="151">
        <f t="shared" si="16"/>
        <v>0.10515358699999977</v>
      </c>
      <c r="O52" s="151">
        <f t="shared" si="17"/>
        <v>0.10515358699999977</v>
      </c>
    </row>
    <row r="53" spans="2:15" ht="15.75" thickBot="1" x14ac:dyDescent="0.25">
      <c r="B53" s="64"/>
      <c r="C53" s="65" t="s">
        <v>139</v>
      </c>
      <c r="D53" s="65"/>
      <c r="E53" s="116">
        <f>IFERROR((K53-L53)/AVERAGE(F53,I53),0)</f>
        <v>3.4202955784444149E-2</v>
      </c>
      <c r="F53" s="161">
        <f>ROUND(SUM(F42:F52),2)</f>
        <v>5112.57</v>
      </c>
      <c r="G53" s="161">
        <f t="shared" ref="G53:O53" si="18">ROUND(SUM(G42:G52),2)</f>
        <v>4.97</v>
      </c>
      <c r="H53" s="161">
        <f t="shared" si="18"/>
        <v>0</v>
      </c>
      <c r="I53" s="161">
        <f t="shared" si="18"/>
        <v>5117.54</v>
      </c>
      <c r="J53" s="161">
        <f t="shared" si="18"/>
        <v>1629.33</v>
      </c>
      <c r="K53" s="161">
        <f t="shared" si="18"/>
        <v>174.95</v>
      </c>
      <c r="L53" s="161">
        <f t="shared" si="18"/>
        <v>0</v>
      </c>
      <c r="M53" s="161">
        <f t="shared" si="18"/>
        <v>1804.28</v>
      </c>
      <c r="N53" s="161">
        <f t="shared" si="18"/>
        <v>3483.24</v>
      </c>
      <c r="O53" s="161">
        <f t="shared" si="18"/>
        <v>3313.26</v>
      </c>
    </row>
    <row r="54" spans="2:15" x14ac:dyDescent="0.2">
      <c r="K54" s="163"/>
    </row>
    <row r="55" spans="2:15" x14ac:dyDescent="0.2">
      <c r="K55" s="163"/>
    </row>
    <row r="56" spans="2:15" x14ac:dyDescent="0.2">
      <c r="K56" s="163"/>
    </row>
  </sheetData>
  <mergeCells count="24">
    <mergeCell ref="B39:O39"/>
    <mergeCell ref="B40:B41"/>
    <mergeCell ref="C40:C41"/>
    <mergeCell ref="D40:D41"/>
    <mergeCell ref="E40:E41"/>
    <mergeCell ref="F40:I40"/>
    <mergeCell ref="J40:M40"/>
    <mergeCell ref="N40:O40"/>
    <mergeCell ref="B23:O23"/>
    <mergeCell ref="B24:B25"/>
    <mergeCell ref="C24:C25"/>
    <mergeCell ref="D24:D25"/>
    <mergeCell ref="E24:E25"/>
    <mergeCell ref="F24:I24"/>
    <mergeCell ref="J24:M24"/>
    <mergeCell ref="N24:O24"/>
    <mergeCell ref="J8:M8"/>
    <mergeCell ref="N8:O8"/>
    <mergeCell ref="B7:O7"/>
    <mergeCell ref="B8:B9"/>
    <mergeCell ref="C8:C9"/>
    <mergeCell ref="D8:D9"/>
    <mergeCell ref="E8:E9"/>
    <mergeCell ref="F8:I8"/>
  </mergeCells>
  <pageMargins left="0.27" right="0.25" top="0.25" bottom="0.25" header="0.25" footer="0.25"/>
  <pageSetup paperSize="9" scale="82" fitToHeight="0" orientation="landscape" r:id="rId1"/>
  <headerFooter alignWithMargins="0"/>
  <rowBreaks count="1" manualBreakCount="1">
    <brk id="21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J58"/>
  <sheetViews>
    <sheetView topLeftCell="A29" zoomScale="85" zoomScaleNormal="85" zoomScaleSheetLayoutView="90" workbookViewId="0">
      <selection activeCell="H51" sqref="H51"/>
    </sheetView>
  </sheetViews>
  <sheetFormatPr defaultColWidth="9.28515625" defaultRowHeight="14.25" x14ac:dyDescent="0.2"/>
  <cols>
    <col min="1" max="1" width="2.140625" style="5" customWidth="1"/>
    <col min="2" max="2" width="5.5703125" style="5" customWidth="1"/>
    <col min="3" max="3" width="48.140625" style="5" customWidth="1"/>
    <col min="4" max="4" width="10.5703125" style="5" customWidth="1"/>
    <col min="5" max="5" width="9.140625" style="5" customWidth="1"/>
    <col min="6" max="6" width="13.28515625" style="5" customWidth="1"/>
    <col min="7" max="7" width="9.28515625" style="5" customWidth="1"/>
    <col min="8" max="8" width="10.85546875" style="5" customWidth="1"/>
    <col min="9" max="9" width="8.5703125" style="5" customWidth="1"/>
    <col min="10" max="10" width="8.7109375" style="5" customWidth="1"/>
    <col min="11" max="13" width="11.7109375" style="5" bestFit="1" customWidth="1"/>
    <col min="14" max="16384" width="9.28515625" style="5"/>
  </cols>
  <sheetData>
    <row r="1" spans="2:10" ht="15" x14ac:dyDescent="0.2">
      <c r="E1" s="32" t="s">
        <v>401</v>
      </c>
    </row>
    <row r="2" spans="2:10" ht="15" x14ac:dyDescent="0.2">
      <c r="E2" s="32" t="s">
        <v>467</v>
      </c>
    </row>
    <row r="3" spans="2:10" ht="15" x14ac:dyDescent="0.2">
      <c r="E3" s="35" t="s">
        <v>274</v>
      </c>
    </row>
    <row r="4" spans="2:10" ht="15" x14ac:dyDescent="0.2">
      <c r="B4" s="33" t="s">
        <v>57</v>
      </c>
      <c r="C4" s="24" t="s">
        <v>275</v>
      </c>
      <c r="J4" s="26" t="s">
        <v>4</v>
      </c>
    </row>
    <row r="5" spans="2:10" s="13" customFormat="1" ht="15" customHeight="1" x14ac:dyDescent="0.2">
      <c r="B5" s="318" t="s">
        <v>193</v>
      </c>
      <c r="C5" s="321" t="s">
        <v>18</v>
      </c>
      <c r="D5" s="325" t="s">
        <v>403</v>
      </c>
      <c r="E5" s="326"/>
      <c r="F5" s="327"/>
      <c r="G5" s="323" t="s">
        <v>404</v>
      </c>
      <c r="H5" s="323"/>
      <c r="I5" s="346" t="s">
        <v>465</v>
      </c>
      <c r="J5" s="347"/>
    </row>
    <row r="6" spans="2:10" s="13" customFormat="1" ht="45" x14ac:dyDescent="0.2">
      <c r="B6" s="319"/>
      <c r="C6" s="321"/>
      <c r="D6" s="15" t="s">
        <v>395</v>
      </c>
      <c r="E6" s="15" t="s">
        <v>240</v>
      </c>
      <c r="F6" s="15" t="s">
        <v>208</v>
      </c>
      <c r="G6" s="15" t="s">
        <v>395</v>
      </c>
      <c r="H6" s="15" t="s">
        <v>239</v>
      </c>
      <c r="I6" s="15" t="s">
        <v>395</v>
      </c>
      <c r="J6" s="15" t="s">
        <v>239</v>
      </c>
    </row>
    <row r="7" spans="2:10" s="13" customFormat="1" ht="60" x14ac:dyDescent="0.2">
      <c r="B7" s="320"/>
      <c r="C7" s="322"/>
      <c r="D7" s="15" t="s">
        <v>10</v>
      </c>
      <c r="E7" s="15" t="s">
        <v>12</v>
      </c>
      <c r="F7" s="15" t="s">
        <v>231</v>
      </c>
      <c r="G7" s="15" t="s">
        <v>10</v>
      </c>
      <c r="H7" s="15" t="s">
        <v>461</v>
      </c>
      <c r="I7" s="15" t="s">
        <v>10</v>
      </c>
      <c r="J7" s="15" t="s">
        <v>461</v>
      </c>
    </row>
    <row r="8" spans="2:10" x14ac:dyDescent="0.2">
      <c r="B8" s="59">
        <v>1</v>
      </c>
      <c r="C8" s="27" t="s">
        <v>176</v>
      </c>
      <c r="D8" s="2"/>
      <c r="E8" s="125">
        <f>'F4'!F21*70%</f>
        <v>3576.3910000000001</v>
      </c>
      <c r="F8" s="125">
        <f>E8</f>
        <v>3576.3910000000001</v>
      </c>
      <c r="G8" s="129"/>
      <c r="H8" s="130">
        <f>E8+E12</f>
        <v>3578.971</v>
      </c>
      <c r="I8" s="129"/>
      <c r="J8" s="130">
        <f>H8+H12</f>
        <v>3578.971</v>
      </c>
    </row>
    <row r="9" spans="2:10" x14ac:dyDescent="0.2">
      <c r="B9" s="20">
        <f>B8+1</f>
        <v>2</v>
      </c>
      <c r="C9" s="27" t="s">
        <v>177</v>
      </c>
      <c r="D9" s="2"/>
      <c r="E9" s="125">
        <f>'F4'!J21</f>
        <v>1279.77</v>
      </c>
      <c r="F9" s="125">
        <f>E9</f>
        <v>1279.77</v>
      </c>
      <c r="G9" s="130"/>
      <c r="H9" s="130">
        <f>'F4'!J37</f>
        <v>1454.51</v>
      </c>
      <c r="I9" s="129"/>
      <c r="J9" s="130">
        <f>H9+H13</f>
        <v>1629.33</v>
      </c>
    </row>
    <row r="10" spans="2:10" ht="15" x14ac:dyDescent="0.2">
      <c r="B10" s="20">
        <f t="shared" ref="B10:B20" si="0">B9+1</f>
        <v>3</v>
      </c>
      <c r="C10" s="29" t="s">
        <v>178</v>
      </c>
      <c r="D10" s="115">
        <f>D8-D9</f>
        <v>0</v>
      </c>
      <c r="E10" s="115">
        <f>IF((E8-E9)&lt;0,0,(E8-E9))</f>
        <v>2296.6210000000001</v>
      </c>
      <c r="F10" s="115">
        <f>IF((F8-F9)&lt;0,0,(F8-F9))</f>
        <v>2296.6210000000001</v>
      </c>
      <c r="G10" s="115">
        <f>IF((G8-G9)&lt;0,0,(G8-G9))</f>
        <v>0</v>
      </c>
      <c r="H10" s="115">
        <f>IF((H8-H9)&lt;0,0,(H8-H9))</f>
        <v>2124.4610000000002</v>
      </c>
      <c r="I10" s="115"/>
      <c r="J10" s="115">
        <f>IF((J8-J9)&lt;0,0,(J8-J9))</f>
        <v>1949.6410000000001</v>
      </c>
    </row>
    <row r="11" spans="2:10" ht="28.5" x14ac:dyDescent="0.2">
      <c r="B11" s="20">
        <f t="shared" si="0"/>
        <v>4</v>
      </c>
      <c r="C11" s="68" t="s">
        <v>179</v>
      </c>
      <c r="D11" s="118"/>
      <c r="E11" s="118"/>
      <c r="F11" s="118"/>
      <c r="G11" s="118"/>
      <c r="H11" s="118"/>
      <c r="I11" s="118"/>
      <c r="J11" s="118"/>
    </row>
    <row r="12" spans="2:10" s="32" customFormat="1" ht="28.5" x14ac:dyDescent="0.2">
      <c r="B12" s="20">
        <f t="shared" si="0"/>
        <v>5</v>
      </c>
      <c r="C12" s="37" t="s">
        <v>398</v>
      </c>
      <c r="D12" s="118"/>
      <c r="E12" s="125">
        <f>'F3'!E12*75%</f>
        <v>2.58</v>
      </c>
      <c r="F12" s="125">
        <f>'F3'!F12*75%</f>
        <v>2.58</v>
      </c>
      <c r="G12" s="125">
        <f>'F3'!G12*75%</f>
        <v>0</v>
      </c>
      <c r="H12" s="125">
        <f>'F3'!H12*75%</f>
        <v>0</v>
      </c>
      <c r="I12" s="125">
        <f>'F3'!I12*75%</f>
        <v>0</v>
      </c>
      <c r="J12" s="125">
        <f>'F3'!J12*75%</f>
        <v>3.7275</v>
      </c>
    </row>
    <row r="13" spans="2:10" x14ac:dyDescent="0.2">
      <c r="B13" s="20">
        <f t="shared" si="0"/>
        <v>6</v>
      </c>
      <c r="C13" s="68" t="s">
        <v>184</v>
      </c>
      <c r="D13" s="133"/>
      <c r="E13" s="133">
        <f>'F1'!G11</f>
        <v>174.74</v>
      </c>
      <c r="F13" s="133">
        <f>'F1'!H11</f>
        <v>174.74</v>
      </c>
      <c r="G13" s="133"/>
      <c r="H13" s="133">
        <f>'F1'!J11</f>
        <v>174.82</v>
      </c>
      <c r="I13" s="133"/>
      <c r="J13" s="133">
        <f>'F1'!L11</f>
        <v>174.95</v>
      </c>
    </row>
    <row r="14" spans="2:10" ht="15" x14ac:dyDescent="0.2">
      <c r="B14" s="20">
        <f t="shared" si="0"/>
        <v>7</v>
      </c>
      <c r="C14" s="27" t="s">
        <v>180</v>
      </c>
      <c r="D14" s="115"/>
      <c r="E14" s="115">
        <f>IF((E10-E11+E12-E13)&lt;0,0,(E10-E11+E12-E13))</f>
        <v>2124.4610000000002</v>
      </c>
      <c r="F14" s="115">
        <f>IF((F10-F11+F12-F13)&lt;0,0,(F10-F11+F12-F13))</f>
        <v>2124.4610000000002</v>
      </c>
      <c r="G14" s="115"/>
      <c r="H14" s="115">
        <f>IF((H10-H11+H12-H13)&lt;0,0,(H10-H11+H12-H13))</f>
        <v>1949.6410000000003</v>
      </c>
      <c r="I14" s="115"/>
      <c r="J14" s="115">
        <f>IF((J10-J11+J12-J13)&lt;0,0,(J10-J11+J12-J13))</f>
        <v>1778.4185</v>
      </c>
    </row>
    <row r="15" spans="2:10" ht="15" x14ac:dyDescent="0.2">
      <c r="B15" s="20">
        <f t="shared" si="0"/>
        <v>8</v>
      </c>
      <c r="C15" s="27" t="s">
        <v>181</v>
      </c>
      <c r="D15" s="115"/>
      <c r="E15" s="115">
        <f t="shared" ref="E15:J15" si="1">E8-E11+E12-E13</f>
        <v>3404.2309999999998</v>
      </c>
      <c r="F15" s="115">
        <f t="shared" si="1"/>
        <v>3404.2309999999998</v>
      </c>
      <c r="G15" s="115"/>
      <c r="H15" s="115">
        <f t="shared" si="1"/>
        <v>3404.1509999999998</v>
      </c>
      <c r="I15" s="115"/>
      <c r="J15" s="115">
        <f t="shared" si="1"/>
        <v>3407.7485000000001</v>
      </c>
    </row>
    <row r="16" spans="2:10" ht="15" x14ac:dyDescent="0.2">
      <c r="B16" s="20">
        <f t="shared" si="0"/>
        <v>9</v>
      </c>
      <c r="C16" s="27" t="s">
        <v>214</v>
      </c>
      <c r="D16" s="115"/>
      <c r="E16" s="115">
        <f t="shared" ref="E16:J16" si="2">AVERAGE(E10,E14)</f>
        <v>2210.5410000000002</v>
      </c>
      <c r="F16" s="115">
        <f t="shared" si="2"/>
        <v>2210.5410000000002</v>
      </c>
      <c r="G16" s="115"/>
      <c r="H16" s="115">
        <f t="shared" si="2"/>
        <v>2037.0510000000004</v>
      </c>
      <c r="I16" s="115"/>
      <c r="J16" s="115">
        <f t="shared" si="2"/>
        <v>1864.0297500000001</v>
      </c>
    </row>
    <row r="17" spans="2:10" ht="28.5" x14ac:dyDescent="0.2">
      <c r="B17" s="20">
        <f t="shared" si="0"/>
        <v>10</v>
      </c>
      <c r="C17" s="68" t="s">
        <v>213</v>
      </c>
      <c r="D17" s="117"/>
      <c r="E17" s="117">
        <v>9.98E-2</v>
      </c>
      <c r="F17" s="117">
        <f>E17</f>
        <v>9.98E-2</v>
      </c>
      <c r="G17" s="117"/>
      <c r="H17" s="117">
        <v>0.1007</v>
      </c>
      <c r="I17" s="117"/>
      <c r="J17" s="117">
        <v>0.1013</v>
      </c>
    </row>
    <row r="18" spans="2:10" ht="15" x14ac:dyDescent="0.2">
      <c r="B18" s="20">
        <f t="shared" si="0"/>
        <v>11</v>
      </c>
      <c r="C18" s="27" t="s">
        <v>276</v>
      </c>
      <c r="D18" s="115">
        <f>D16*D17</f>
        <v>0</v>
      </c>
      <c r="E18" s="115">
        <f>ROUND(E16*E17,2)</f>
        <v>220.61</v>
      </c>
      <c r="F18" s="115">
        <f t="shared" ref="F18:J18" si="3">ROUND(F16*F17,2)</f>
        <v>220.61</v>
      </c>
      <c r="G18" s="115">
        <f t="shared" si="3"/>
        <v>0</v>
      </c>
      <c r="H18" s="115">
        <f t="shared" si="3"/>
        <v>205.13</v>
      </c>
      <c r="I18" s="115">
        <f t="shared" si="3"/>
        <v>0</v>
      </c>
      <c r="J18" s="115">
        <f t="shared" si="3"/>
        <v>188.83</v>
      </c>
    </row>
    <row r="19" spans="2:10" x14ac:dyDescent="0.2">
      <c r="B19" s="20">
        <f t="shared" si="0"/>
        <v>12</v>
      </c>
      <c r="C19" s="27" t="s">
        <v>279</v>
      </c>
      <c r="D19" s="69"/>
      <c r="E19" s="69"/>
      <c r="F19" s="69"/>
      <c r="G19" s="69"/>
      <c r="H19" s="69"/>
      <c r="I19" s="69"/>
      <c r="J19" s="69"/>
    </row>
    <row r="20" spans="2:10" ht="15" x14ac:dyDescent="0.2">
      <c r="B20" s="20">
        <f t="shared" si="0"/>
        <v>13</v>
      </c>
      <c r="C20" s="27" t="s">
        <v>280</v>
      </c>
      <c r="D20" s="115">
        <v>242.01</v>
      </c>
      <c r="E20" s="115">
        <f>IF((E18+E19)&lt;0,0,(E18+E19))</f>
        <v>220.61</v>
      </c>
      <c r="F20" s="115">
        <f>IF((F18+F19)&lt;0,0,(F18+F19))</f>
        <v>220.61</v>
      </c>
      <c r="G20" s="115">
        <v>223.03</v>
      </c>
      <c r="H20" s="115">
        <f>IF((H18+H19)&lt;0,0,(H18+H19))</f>
        <v>205.13</v>
      </c>
      <c r="I20" s="115">
        <v>203.81</v>
      </c>
      <c r="J20" s="115">
        <f>IF((J18+J19)&lt;0,0,(J18+J19))</f>
        <v>188.83</v>
      </c>
    </row>
    <row r="21" spans="2:10" x14ac:dyDescent="0.2">
      <c r="B21" s="34"/>
      <c r="C21" s="5" t="s">
        <v>242</v>
      </c>
    </row>
    <row r="22" spans="2:10" x14ac:dyDescent="0.2">
      <c r="C22" s="5" t="s">
        <v>399</v>
      </c>
    </row>
    <row r="24" spans="2:10" ht="15" x14ac:dyDescent="0.2">
      <c r="B24" s="33" t="s">
        <v>62</v>
      </c>
      <c r="C24" s="24" t="s">
        <v>277</v>
      </c>
    </row>
    <row r="25" spans="2:10" ht="15" customHeight="1" x14ac:dyDescent="0.2">
      <c r="B25" s="318" t="s">
        <v>193</v>
      </c>
      <c r="C25" s="321" t="s">
        <v>18</v>
      </c>
      <c r="D25" s="67" t="s">
        <v>402</v>
      </c>
      <c r="E25" s="67" t="s">
        <v>403</v>
      </c>
      <c r="F25" s="15" t="s">
        <v>404</v>
      </c>
    </row>
    <row r="26" spans="2:10" ht="30" x14ac:dyDescent="0.2">
      <c r="B26" s="319"/>
      <c r="C26" s="321"/>
      <c r="D26" s="15" t="s">
        <v>240</v>
      </c>
      <c r="E26" s="15" t="s">
        <v>239</v>
      </c>
      <c r="F26" s="15" t="s">
        <v>239</v>
      </c>
    </row>
    <row r="27" spans="2:10" ht="30" x14ac:dyDescent="0.2">
      <c r="B27" s="320"/>
      <c r="C27" s="322"/>
      <c r="D27" s="15" t="s">
        <v>12</v>
      </c>
      <c r="E27" s="15" t="s">
        <v>5</v>
      </c>
      <c r="F27" s="15" t="s">
        <v>8</v>
      </c>
    </row>
    <row r="28" spans="2:10" ht="15" x14ac:dyDescent="0.2">
      <c r="B28" s="20">
        <v>1</v>
      </c>
      <c r="C28" s="180" t="s">
        <v>492</v>
      </c>
      <c r="D28" s="27"/>
      <c r="E28" s="27"/>
      <c r="F28" s="27"/>
    </row>
    <row r="29" spans="2:10" x14ac:dyDescent="0.2">
      <c r="B29" s="27"/>
      <c r="C29" s="27" t="s">
        <v>13</v>
      </c>
      <c r="D29" s="27">
        <v>2556.37</v>
      </c>
      <c r="E29" s="120">
        <f>D32</f>
        <v>2203.77</v>
      </c>
      <c r="F29" s="120">
        <f>E32</f>
        <v>1967.83</v>
      </c>
    </row>
    <row r="30" spans="2:10" x14ac:dyDescent="0.2">
      <c r="B30" s="27"/>
      <c r="C30" s="27" t="s">
        <v>168</v>
      </c>
      <c r="D30" s="27">
        <v>0</v>
      </c>
      <c r="E30" s="27">
        <v>123.06</v>
      </c>
      <c r="F30" s="27">
        <v>0</v>
      </c>
    </row>
    <row r="31" spans="2:10" x14ac:dyDescent="0.2">
      <c r="B31" s="27"/>
      <c r="C31" s="27" t="s">
        <v>14</v>
      </c>
      <c r="D31" s="27">
        <v>352.6</v>
      </c>
      <c r="E31" s="27">
        <v>359</v>
      </c>
      <c r="F31" s="27">
        <v>374.82</v>
      </c>
    </row>
    <row r="32" spans="2:10" ht="15" x14ac:dyDescent="0.2">
      <c r="B32" s="27"/>
      <c r="C32" s="27" t="s">
        <v>15</v>
      </c>
      <c r="D32" s="114">
        <f>D29+D30-D31</f>
        <v>2203.77</v>
      </c>
      <c r="E32" s="114">
        <f>E29+E30-E31</f>
        <v>1967.83</v>
      </c>
      <c r="F32" s="114">
        <f>F29+F30-F31</f>
        <v>1593.01</v>
      </c>
    </row>
    <row r="33" spans="2:6" ht="15" x14ac:dyDescent="0.2">
      <c r="B33" s="27"/>
      <c r="C33" s="27" t="s">
        <v>215</v>
      </c>
      <c r="D33" s="114">
        <v>2392.87</v>
      </c>
      <c r="E33" s="114">
        <v>2074.0556660039761</v>
      </c>
      <c r="F33" s="114">
        <f>F35/F34*100</f>
        <v>1796.023856858847</v>
      </c>
    </row>
    <row r="34" spans="2:6" x14ac:dyDescent="0.2">
      <c r="B34" s="27"/>
      <c r="C34" s="27" t="s">
        <v>16</v>
      </c>
      <c r="D34" s="120">
        <f>D35/D33*100</f>
        <v>9.9821553197624624</v>
      </c>
      <c r="E34" s="120">
        <v>10.07</v>
      </c>
      <c r="F34" s="120">
        <v>10.06</v>
      </c>
    </row>
    <row r="35" spans="2:6" ht="15" x14ac:dyDescent="0.2">
      <c r="B35" s="27"/>
      <c r="C35" s="27" t="s">
        <v>276</v>
      </c>
      <c r="D35" s="114">
        <v>238.86</v>
      </c>
      <c r="E35" s="114">
        <v>208.65</v>
      </c>
      <c r="F35" s="114">
        <v>180.68</v>
      </c>
    </row>
    <row r="36" spans="2:6" x14ac:dyDescent="0.2">
      <c r="B36" s="27"/>
      <c r="C36" s="27" t="s">
        <v>279</v>
      </c>
      <c r="D36" s="120">
        <v>0</v>
      </c>
      <c r="E36" s="120">
        <v>0</v>
      </c>
      <c r="F36" s="120">
        <v>0</v>
      </c>
    </row>
    <row r="37" spans="2:6" ht="15" x14ac:dyDescent="0.2">
      <c r="B37" s="27"/>
      <c r="C37" s="27" t="s">
        <v>280</v>
      </c>
      <c r="D37" s="114">
        <f>D35+D36</f>
        <v>238.86</v>
      </c>
      <c r="E37" s="114">
        <f>E35+E36</f>
        <v>208.65</v>
      </c>
      <c r="F37" s="114">
        <f>F35+F36</f>
        <v>180.68</v>
      </c>
    </row>
    <row r="38" spans="2:6" ht="15" x14ac:dyDescent="0.2">
      <c r="B38" s="20">
        <v>2</v>
      </c>
      <c r="C38" s="39" t="s">
        <v>191</v>
      </c>
      <c r="D38" s="120"/>
      <c r="F38" s="120"/>
    </row>
    <row r="39" spans="2:6" x14ac:dyDescent="0.2">
      <c r="B39" s="27"/>
      <c r="C39" s="27" t="s">
        <v>13</v>
      </c>
      <c r="D39" s="120"/>
      <c r="E39" s="120">
        <v>0</v>
      </c>
      <c r="F39" s="120">
        <f>E42</f>
        <v>0</v>
      </c>
    </row>
    <row r="40" spans="2:6" x14ac:dyDescent="0.2">
      <c r="B40" s="27"/>
      <c r="C40" s="27" t="s">
        <v>168</v>
      </c>
      <c r="D40" s="120"/>
      <c r="E40" s="120">
        <v>0</v>
      </c>
      <c r="F40" s="120">
        <v>524.65</v>
      </c>
    </row>
    <row r="41" spans="2:6" x14ac:dyDescent="0.2">
      <c r="B41" s="27"/>
      <c r="C41" s="27" t="s">
        <v>14</v>
      </c>
      <c r="D41" s="120"/>
      <c r="E41" s="120">
        <v>0</v>
      </c>
      <c r="F41" s="120">
        <v>57.62</v>
      </c>
    </row>
    <row r="42" spans="2:6" ht="15" x14ac:dyDescent="0.2">
      <c r="B42" s="27"/>
      <c r="C42" s="27" t="s">
        <v>15</v>
      </c>
      <c r="D42" s="114">
        <f>D39+D40-D41</f>
        <v>0</v>
      </c>
      <c r="E42" s="114">
        <f>E39+E40-E41</f>
        <v>0</v>
      </c>
      <c r="F42" s="114">
        <f>F39+F40-F41</f>
        <v>467.03</v>
      </c>
    </row>
    <row r="43" spans="2:6" ht="15" x14ac:dyDescent="0.2">
      <c r="B43" s="27"/>
      <c r="C43" s="27" t="s">
        <v>215</v>
      </c>
      <c r="D43" s="114">
        <f>AVERAGE(D39,D42)</f>
        <v>0</v>
      </c>
      <c r="E43" s="114">
        <f>AVERAGE(E39,E42)</f>
        <v>0</v>
      </c>
      <c r="F43" s="114">
        <f>F45/F44*100</f>
        <v>245.11494252873564</v>
      </c>
    </row>
    <row r="44" spans="2:6" x14ac:dyDescent="0.2">
      <c r="B44" s="27"/>
      <c r="C44" s="27" t="s">
        <v>16</v>
      </c>
      <c r="D44" s="119"/>
      <c r="E44" s="119"/>
      <c r="F44" s="120">
        <v>10.44</v>
      </c>
    </row>
    <row r="45" spans="2:6" ht="15" x14ac:dyDescent="0.2">
      <c r="B45" s="27"/>
      <c r="C45" s="27" t="s">
        <v>276</v>
      </c>
      <c r="D45" s="114">
        <f>D43*D44</f>
        <v>0</v>
      </c>
      <c r="E45" s="114">
        <f>E43*E44</f>
        <v>0</v>
      </c>
      <c r="F45" s="114">
        <v>25.59</v>
      </c>
    </row>
    <row r="46" spans="2:6" x14ac:dyDescent="0.2">
      <c r="B46" s="27"/>
      <c r="C46" s="27" t="s">
        <v>279</v>
      </c>
      <c r="D46" s="120"/>
      <c r="E46" s="120"/>
      <c r="F46" s="120">
        <v>0</v>
      </c>
    </row>
    <row r="47" spans="2:6" ht="15" x14ac:dyDescent="0.2">
      <c r="B47" s="27"/>
      <c r="C47" s="27" t="s">
        <v>280</v>
      </c>
      <c r="D47" s="114">
        <f>D45+D46</f>
        <v>0</v>
      </c>
      <c r="E47" s="114">
        <f>E45+E46</f>
        <v>0</v>
      </c>
      <c r="F47" s="114">
        <f>F45+F46</f>
        <v>25.59</v>
      </c>
    </row>
    <row r="48" spans="2:6" x14ac:dyDescent="0.2">
      <c r="B48" s="27"/>
      <c r="C48" s="27" t="s">
        <v>278</v>
      </c>
      <c r="D48" s="120"/>
      <c r="E48" s="120"/>
      <c r="F48" s="120"/>
    </row>
    <row r="49" spans="2:9" ht="15" x14ac:dyDescent="0.2">
      <c r="B49" s="20"/>
      <c r="C49" s="39" t="s">
        <v>139</v>
      </c>
      <c r="D49" s="120"/>
      <c r="E49" s="120"/>
      <c r="F49" s="120"/>
    </row>
    <row r="50" spans="2:9" ht="15" x14ac:dyDescent="0.2">
      <c r="B50" s="27"/>
      <c r="C50" s="27" t="s">
        <v>13</v>
      </c>
      <c r="D50" s="114">
        <f>D29+D39</f>
        <v>2556.37</v>
      </c>
      <c r="E50" s="114">
        <f>E29</f>
        <v>2203.77</v>
      </c>
      <c r="F50" s="114">
        <f t="shared" ref="E50:F52" si="4">F29+F39</f>
        <v>1967.83</v>
      </c>
    </row>
    <row r="51" spans="2:9" ht="15" x14ac:dyDescent="0.2">
      <c r="B51" s="27"/>
      <c r="C51" s="27" t="s">
        <v>168</v>
      </c>
      <c r="D51" s="114">
        <f>D30+D40</f>
        <v>0</v>
      </c>
      <c r="E51" s="114">
        <f t="shared" si="4"/>
        <v>123.06</v>
      </c>
      <c r="F51" s="114">
        <f t="shared" si="4"/>
        <v>524.65</v>
      </c>
    </row>
    <row r="52" spans="2:9" ht="15" x14ac:dyDescent="0.2">
      <c r="B52" s="27"/>
      <c r="C52" s="27" t="s">
        <v>14</v>
      </c>
      <c r="D52" s="114">
        <f>D31+D41</f>
        <v>352.6</v>
      </c>
      <c r="E52" s="114">
        <f t="shared" si="4"/>
        <v>359</v>
      </c>
      <c r="F52" s="114">
        <f t="shared" si="4"/>
        <v>432.44</v>
      </c>
    </row>
    <row r="53" spans="2:9" ht="15" x14ac:dyDescent="0.2">
      <c r="B53" s="27"/>
      <c r="C53" s="27" t="s">
        <v>15</v>
      </c>
      <c r="D53" s="114">
        <f>D50+D51-D52</f>
        <v>2203.77</v>
      </c>
      <c r="E53" s="114">
        <f>E50+E51-E52</f>
        <v>1967.83</v>
      </c>
      <c r="F53" s="114">
        <f>F50+F51-F52</f>
        <v>2060.04</v>
      </c>
    </row>
    <row r="54" spans="2:9" ht="15" x14ac:dyDescent="0.2">
      <c r="B54" s="27"/>
      <c r="C54" s="27" t="s">
        <v>215</v>
      </c>
      <c r="D54" s="114">
        <v>2392.87</v>
      </c>
      <c r="E54" s="114">
        <f>E33+E43</f>
        <v>2074.0556660039761</v>
      </c>
      <c r="F54" s="114">
        <f>F33+F43</f>
        <v>2041.1387993875826</v>
      </c>
      <c r="G54" s="304"/>
    </row>
    <row r="55" spans="2:9" ht="15" x14ac:dyDescent="0.2">
      <c r="B55" s="27"/>
      <c r="C55" s="27" t="s">
        <v>16</v>
      </c>
      <c r="D55" s="114">
        <f>D56/D54*100</f>
        <v>9.9821553197624624</v>
      </c>
      <c r="E55" s="114">
        <f>E34</f>
        <v>10.07</v>
      </c>
      <c r="F55" s="114">
        <v>10.130000000000001</v>
      </c>
      <c r="H55" s="300"/>
      <c r="I55" s="300"/>
    </row>
    <row r="56" spans="2:9" ht="15" x14ac:dyDescent="0.2">
      <c r="B56" s="27"/>
      <c r="C56" s="27" t="s">
        <v>276</v>
      </c>
      <c r="D56" s="114">
        <f t="shared" ref="D56:F57" si="5">D35+D45</f>
        <v>238.86</v>
      </c>
      <c r="E56" s="114">
        <f t="shared" si="5"/>
        <v>208.65</v>
      </c>
      <c r="F56" s="114">
        <f t="shared" si="5"/>
        <v>206.27</v>
      </c>
    </row>
    <row r="57" spans="2:9" ht="15" x14ac:dyDescent="0.2">
      <c r="B57" s="27"/>
      <c r="C57" s="27" t="s">
        <v>279</v>
      </c>
      <c r="D57" s="114">
        <f t="shared" si="5"/>
        <v>0</v>
      </c>
      <c r="E57" s="114">
        <f t="shared" si="5"/>
        <v>0</v>
      </c>
      <c r="F57" s="114">
        <f t="shared" si="5"/>
        <v>0</v>
      </c>
    </row>
    <row r="58" spans="2:9" ht="15" x14ac:dyDescent="0.2">
      <c r="B58" s="27"/>
      <c r="C58" s="27" t="s">
        <v>280</v>
      </c>
      <c r="D58" s="114">
        <f>D56+D57</f>
        <v>238.86</v>
      </c>
      <c r="E58" s="114">
        <f>E56+E57</f>
        <v>208.65</v>
      </c>
      <c r="F58" s="114">
        <f>F56+F57</f>
        <v>206.27</v>
      </c>
    </row>
  </sheetData>
  <mergeCells count="7">
    <mergeCell ref="B25:B27"/>
    <mergeCell ref="C25:C27"/>
    <mergeCell ref="I5:J5"/>
    <mergeCell ref="B5:B7"/>
    <mergeCell ref="C5:C7"/>
    <mergeCell ref="D5:F5"/>
    <mergeCell ref="G5:H5"/>
  </mergeCells>
  <pageMargins left="0.27559055118110237" right="0.23622047244094491" top="0.23622047244094491" bottom="0.23622047244094491" header="0.23622047244094491" footer="0.23622047244094491"/>
  <pageSetup paperSize="9" scale="93" fitToHeight="0" orientation="landscape" r:id="rId1"/>
  <headerFooter alignWithMargins="0"/>
  <rowBreaks count="1" manualBreakCount="1">
    <brk id="23" max="16383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J22"/>
  <sheetViews>
    <sheetView showGridLines="0" zoomScale="70" zoomScaleNormal="70" zoomScaleSheetLayoutView="90" workbookViewId="0">
      <selection activeCell="O8" sqref="O8"/>
    </sheetView>
  </sheetViews>
  <sheetFormatPr defaultColWidth="9.28515625" defaultRowHeight="16.5" x14ac:dyDescent="0.2"/>
  <cols>
    <col min="1" max="1" width="4.28515625" style="192" customWidth="1"/>
    <col min="2" max="2" width="6.28515625" style="192" customWidth="1"/>
    <col min="3" max="3" width="35.5703125" style="192" customWidth="1"/>
    <col min="4" max="4" width="13.7109375" style="192" bestFit="1" customWidth="1"/>
    <col min="5" max="5" width="12.5703125" style="192" bestFit="1" customWidth="1"/>
    <col min="6" max="6" width="13.42578125" style="192" bestFit="1" customWidth="1"/>
    <col min="7" max="7" width="13.7109375" style="192" bestFit="1" customWidth="1"/>
    <col min="8" max="9" width="12.5703125" style="192" customWidth="1"/>
    <col min="10" max="10" width="14.42578125" style="192" bestFit="1" customWidth="1"/>
    <col min="11" max="13" width="11.7109375" style="192" bestFit="1" customWidth="1"/>
    <col min="14" max="16384" width="9.28515625" style="192"/>
  </cols>
  <sheetData>
    <row r="1" spans="2:10" x14ac:dyDescent="0.2">
      <c r="B1" s="191"/>
    </row>
    <row r="2" spans="2:10" x14ac:dyDescent="0.2">
      <c r="E2" s="193" t="s">
        <v>401</v>
      </c>
    </row>
    <row r="3" spans="2:10" x14ac:dyDescent="0.2">
      <c r="E3" s="193" t="s">
        <v>467</v>
      </c>
    </row>
    <row r="4" spans="2:10" x14ac:dyDescent="0.2">
      <c r="E4" s="194" t="s">
        <v>281</v>
      </c>
    </row>
    <row r="5" spans="2:10" x14ac:dyDescent="0.2">
      <c r="J5" s="195" t="s">
        <v>4</v>
      </c>
    </row>
    <row r="6" spans="2:10" s="196" customFormat="1" ht="15" customHeight="1" x14ac:dyDescent="0.2">
      <c r="B6" s="350" t="s">
        <v>193</v>
      </c>
      <c r="C6" s="353" t="s">
        <v>18</v>
      </c>
      <c r="D6" s="348" t="s">
        <v>403</v>
      </c>
      <c r="E6" s="355"/>
      <c r="F6" s="349"/>
      <c r="G6" s="348" t="s">
        <v>404</v>
      </c>
      <c r="H6" s="349"/>
      <c r="I6" s="348" t="s">
        <v>465</v>
      </c>
      <c r="J6" s="349"/>
    </row>
    <row r="7" spans="2:10" s="196" customFormat="1" ht="49.5" x14ac:dyDescent="0.2">
      <c r="B7" s="351"/>
      <c r="C7" s="353"/>
      <c r="D7" s="197" t="s">
        <v>370</v>
      </c>
      <c r="E7" s="197" t="s">
        <v>240</v>
      </c>
      <c r="F7" s="197" t="s">
        <v>208</v>
      </c>
      <c r="G7" s="197" t="s">
        <v>370</v>
      </c>
      <c r="H7" s="197" t="s">
        <v>239</v>
      </c>
      <c r="I7" s="197" t="s">
        <v>370</v>
      </c>
      <c r="J7" s="197" t="s">
        <v>229</v>
      </c>
    </row>
    <row r="8" spans="2:10" s="196" customFormat="1" ht="33" x14ac:dyDescent="0.2">
      <c r="B8" s="352"/>
      <c r="C8" s="354"/>
      <c r="D8" s="197" t="s">
        <v>10</v>
      </c>
      <c r="E8" s="197" t="s">
        <v>12</v>
      </c>
      <c r="F8" s="197" t="s">
        <v>231</v>
      </c>
      <c r="G8" s="197" t="s">
        <v>10</v>
      </c>
      <c r="H8" s="197" t="s">
        <v>461</v>
      </c>
      <c r="I8" s="197" t="s">
        <v>10</v>
      </c>
      <c r="J8" s="197" t="s">
        <v>461</v>
      </c>
    </row>
    <row r="9" spans="2:10" x14ac:dyDescent="0.2">
      <c r="B9" s="198">
        <v>1</v>
      </c>
      <c r="C9" s="199" t="s">
        <v>282</v>
      </c>
      <c r="D9" s="200"/>
      <c r="E9" s="201">
        <f>800*24*20*85%*(1-0.0525)*'F12'!F17/10000</f>
        <v>106.38791397976824</v>
      </c>
      <c r="F9" s="202">
        <f>E9</f>
        <v>106.38791397976824</v>
      </c>
      <c r="G9" s="203"/>
      <c r="H9" s="203">
        <f>800*24*20*85%*(1-0.0525)*'F12'!I17/10000</f>
        <v>107.1290496</v>
      </c>
      <c r="I9" s="203"/>
      <c r="J9" s="203">
        <f>800*24*20*85%*(1-0.0525)*'F12'!K17/10000</f>
        <v>105.11883359999999</v>
      </c>
    </row>
    <row r="10" spans="2:10" x14ac:dyDescent="0.2">
      <c r="B10" s="204">
        <f>B9+1</f>
        <v>2</v>
      </c>
      <c r="C10" s="199" t="s">
        <v>283</v>
      </c>
      <c r="D10" s="200"/>
      <c r="E10" s="201">
        <f>800*24*30*85%*(1-0.0525)*'F12'!F17/10000</f>
        <v>159.58187096965236</v>
      </c>
      <c r="F10" s="202">
        <f>E10</f>
        <v>159.58187096965236</v>
      </c>
      <c r="G10" s="203"/>
      <c r="H10" s="203">
        <f>800*24*30*85%*(1-0.0525)*'F12'!I17/10000</f>
        <v>160.69357439999999</v>
      </c>
      <c r="I10" s="203"/>
      <c r="J10" s="203">
        <f>800*24*30*85%*(1-0.0525)*'F12'!K17/10000</f>
        <v>157.6782504</v>
      </c>
    </row>
    <row r="11" spans="2:10" x14ac:dyDescent="0.2">
      <c r="B11" s="204">
        <f t="shared" ref="B11:B19" si="0">B10+1</f>
        <v>3</v>
      </c>
      <c r="C11" s="205" t="s">
        <v>284</v>
      </c>
      <c r="D11" s="200"/>
      <c r="E11" s="201">
        <f>800*24*85%*(1-0.0525)*'F12'!F18*30/10000</f>
        <v>0.72270059748438764</v>
      </c>
      <c r="F11" s="202">
        <f>E11</f>
        <v>0.72270059748438764</v>
      </c>
      <c r="G11" s="203"/>
      <c r="H11" s="203">
        <f>800*24*85%*(1-0.0525)*'F12'!H18*30/10000</f>
        <v>1.5772464000000002</v>
      </c>
      <c r="I11" s="203"/>
      <c r="J11" s="203">
        <f>800*24*85%*(1-0.0525)*'F12'!K18*30/10000</f>
        <v>1.6236360000000003</v>
      </c>
    </row>
    <row r="12" spans="2:10" x14ac:dyDescent="0.2">
      <c r="B12" s="204">
        <f t="shared" si="0"/>
        <v>4</v>
      </c>
      <c r="C12" s="157" t="s">
        <v>285</v>
      </c>
      <c r="D12" s="206"/>
      <c r="E12" s="206">
        <f>'F2'!F13/12</f>
        <v>44.728333333333332</v>
      </c>
      <c r="F12" s="207">
        <f>'F2'!G13/12</f>
        <v>44.728333333333332</v>
      </c>
      <c r="G12" s="207"/>
      <c r="H12" s="207">
        <f>'F2'!I13/12</f>
        <v>47.072499999999998</v>
      </c>
      <c r="I12" s="207"/>
      <c r="J12" s="207">
        <f>'F2'!K13/12</f>
        <v>49.055833333333332</v>
      </c>
    </row>
    <row r="13" spans="2:10" s="193" customFormat="1" x14ac:dyDescent="0.2">
      <c r="B13" s="204">
        <f t="shared" si="0"/>
        <v>5</v>
      </c>
      <c r="C13" s="208" t="s">
        <v>286</v>
      </c>
      <c r="D13" s="209"/>
      <c r="E13" s="202">
        <f>'F4'!F21*1%</f>
        <v>51.091300000000004</v>
      </c>
      <c r="F13" s="202">
        <f>E13</f>
        <v>51.091300000000004</v>
      </c>
      <c r="G13" s="202"/>
      <c r="H13" s="202">
        <f>'F4'!F37*1%</f>
        <v>51.125699999999995</v>
      </c>
      <c r="I13" s="202"/>
      <c r="J13" s="202">
        <f>'F4'!F37*1%</f>
        <v>51.125699999999995</v>
      </c>
    </row>
    <row r="14" spans="2:10" x14ac:dyDescent="0.2">
      <c r="B14" s="204">
        <f t="shared" si="0"/>
        <v>6</v>
      </c>
      <c r="C14" s="157" t="s">
        <v>480</v>
      </c>
      <c r="D14" s="206"/>
      <c r="E14" s="206">
        <f ca="1">(E10*45/30+E11*45/30+'F1'!G16*45/365)</f>
        <v>400.66918611782842</v>
      </c>
      <c r="F14" s="206">
        <f ca="1">E14</f>
        <v>400.66918611782842</v>
      </c>
      <c r="G14" s="207"/>
      <c r="H14" s="207">
        <f ca="1">(H10*45/30+H11*45/30+'F1'!J16*45/365)</f>
        <v>405.07951887123284</v>
      </c>
      <c r="I14" s="207"/>
      <c r="J14" s="207">
        <f ca="1">(J10*45/30+J11*45/30+'F1'!L16*45/365)</f>
        <v>401.46693918904106</v>
      </c>
    </row>
    <row r="15" spans="2:10" x14ac:dyDescent="0.2">
      <c r="B15" s="204"/>
      <c r="C15" s="157" t="s">
        <v>287</v>
      </c>
      <c r="D15" s="209"/>
      <c r="E15" s="205"/>
      <c r="F15" s="210"/>
      <c r="G15" s="205"/>
      <c r="H15" s="205"/>
      <c r="I15" s="205"/>
      <c r="J15" s="205"/>
    </row>
    <row r="16" spans="2:10" x14ac:dyDescent="0.2">
      <c r="B16" s="204">
        <f>B14+1</f>
        <v>7</v>
      </c>
      <c r="C16" s="199" t="s">
        <v>481</v>
      </c>
      <c r="D16" s="206"/>
      <c r="E16" s="206">
        <f>E10+E11</f>
        <v>160.30457156713675</v>
      </c>
      <c r="F16" s="206">
        <f>F10+F11</f>
        <v>160.30457156713675</v>
      </c>
      <c r="G16" s="206"/>
      <c r="H16" s="206">
        <f>H10+H11</f>
        <v>162.2708208</v>
      </c>
      <c r="I16" s="206"/>
      <c r="J16" s="206">
        <f>J10+J11</f>
        <v>159.3018864</v>
      </c>
    </row>
    <row r="17" spans="2:10" x14ac:dyDescent="0.2">
      <c r="B17" s="204">
        <f t="shared" si="0"/>
        <v>8</v>
      </c>
      <c r="C17" s="199" t="s">
        <v>55</v>
      </c>
      <c r="D17" s="211">
        <f>SUM(D9:D14)-D16</f>
        <v>0</v>
      </c>
      <c r="E17" s="211">
        <f t="shared" ref="E17:J17" ca="1" si="1">SUM(E9:E14)-E16</f>
        <v>602.87673343093002</v>
      </c>
      <c r="F17" s="211">
        <f t="shared" ca="1" si="1"/>
        <v>602.87673343093002</v>
      </c>
      <c r="G17" s="211">
        <f t="shared" si="1"/>
        <v>0</v>
      </c>
      <c r="H17" s="211">
        <f t="shared" ca="1" si="1"/>
        <v>610.40676847123279</v>
      </c>
      <c r="I17" s="211">
        <f t="shared" si="1"/>
        <v>0</v>
      </c>
      <c r="J17" s="211">
        <f t="shared" ca="1" si="1"/>
        <v>606.76730612237429</v>
      </c>
    </row>
    <row r="18" spans="2:10" x14ac:dyDescent="0.2">
      <c r="B18" s="204">
        <f t="shared" si="0"/>
        <v>9</v>
      </c>
      <c r="C18" s="199" t="s">
        <v>288</v>
      </c>
      <c r="D18" s="212"/>
      <c r="E18" s="212">
        <v>0.1041</v>
      </c>
      <c r="F18" s="212">
        <f>E18</f>
        <v>0.1041</v>
      </c>
      <c r="G18" s="212">
        <v>0.1008</v>
      </c>
      <c r="H18" s="212">
        <v>0.10249999999999999</v>
      </c>
      <c r="I18" s="212"/>
      <c r="J18" s="212">
        <v>0.10249999999999999</v>
      </c>
    </row>
    <row r="19" spans="2:10" x14ac:dyDescent="0.2">
      <c r="B19" s="204">
        <f t="shared" si="0"/>
        <v>10</v>
      </c>
      <c r="C19" s="157" t="s">
        <v>289</v>
      </c>
      <c r="D19" s="211">
        <v>61.34</v>
      </c>
      <c r="E19" s="211">
        <f ca="1">ROUND(E17*E18,2)</f>
        <v>62.76</v>
      </c>
      <c r="F19" s="211">
        <f ca="1">ROUND(F17*F18,2)</f>
        <v>62.76</v>
      </c>
      <c r="G19" s="211">
        <v>62.76</v>
      </c>
      <c r="H19" s="211">
        <f ca="1">ROUND(H17*H18,2)</f>
        <v>62.57</v>
      </c>
      <c r="I19" s="211">
        <v>63.13</v>
      </c>
      <c r="J19" s="211">
        <f ca="1">ROUND(J17*J18,2)</f>
        <v>62.19</v>
      </c>
    </row>
    <row r="20" spans="2:10" x14ac:dyDescent="0.2">
      <c r="D20" s="213"/>
    </row>
    <row r="21" spans="2:10" x14ac:dyDescent="0.2">
      <c r="C21" s="192" t="s">
        <v>242</v>
      </c>
    </row>
    <row r="22" spans="2:10" x14ac:dyDescent="0.2">
      <c r="C22" s="192" t="s">
        <v>397</v>
      </c>
    </row>
  </sheetData>
  <mergeCells count="5">
    <mergeCell ref="G6:H6"/>
    <mergeCell ref="I6:J6"/>
    <mergeCell ref="B6:B8"/>
    <mergeCell ref="C6:C8"/>
    <mergeCell ref="D6:F6"/>
  </mergeCells>
  <pageMargins left="0.27" right="0.25" top="1" bottom="1" header="0.25" footer="0.25"/>
  <pageSetup paperSize="9" scale="96" orientation="landscape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J23"/>
  <sheetViews>
    <sheetView showGridLines="0" zoomScale="71" zoomScaleNormal="71" zoomScaleSheetLayoutView="90" zoomScalePageLayoutView="84" workbookViewId="0">
      <selection activeCell="J21" sqref="J21"/>
    </sheetView>
  </sheetViews>
  <sheetFormatPr defaultColWidth="9.28515625" defaultRowHeight="14.25" x14ac:dyDescent="0.2"/>
  <cols>
    <col min="1" max="1" width="3.28515625" style="5" customWidth="1"/>
    <col min="2" max="2" width="6.28515625" style="5" customWidth="1"/>
    <col min="3" max="3" width="60.28515625" style="5" customWidth="1"/>
    <col min="4" max="4" width="12.42578125" style="5" customWidth="1"/>
    <col min="5" max="5" width="11" style="5" customWidth="1"/>
    <col min="6" max="6" width="13.42578125" style="5" bestFit="1" customWidth="1"/>
    <col min="7" max="9" width="12.140625" style="5" customWidth="1"/>
    <col min="10" max="10" width="11.28515625" style="5" customWidth="1"/>
    <col min="11" max="13" width="11.7109375" style="5" bestFit="1" customWidth="1"/>
    <col min="14" max="16384" width="9.28515625" style="5"/>
  </cols>
  <sheetData>
    <row r="1" spans="2:10" ht="15" x14ac:dyDescent="0.2">
      <c r="B1" s="24"/>
    </row>
    <row r="2" spans="2:10" ht="15" x14ac:dyDescent="0.2">
      <c r="D2" s="32" t="s">
        <v>401</v>
      </c>
    </row>
    <row r="3" spans="2:10" ht="15" x14ac:dyDescent="0.2">
      <c r="D3" s="32" t="s">
        <v>467</v>
      </c>
    </row>
    <row r="4" spans="2:10" ht="15" x14ac:dyDescent="0.2">
      <c r="D4" s="35" t="s">
        <v>290</v>
      </c>
    </row>
    <row r="5" spans="2:10" ht="15" x14ac:dyDescent="0.2">
      <c r="J5" s="26" t="s">
        <v>4</v>
      </c>
    </row>
    <row r="6" spans="2:10" s="13" customFormat="1" ht="15" customHeight="1" x14ac:dyDescent="0.2">
      <c r="B6" s="318" t="s">
        <v>193</v>
      </c>
      <c r="C6" s="321" t="s">
        <v>18</v>
      </c>
      <c r="D6" s="325" t="s">
        <v>403</v>
      </c>
      <c r="E6" s="326"/>
      <c r="F6" s="327"/>
      <c r="G6" s="325" t="s">
        <v>404</v>
      </c>
      <c r="H6" s="327"/>
      <c r="I6" s="325" t="s">
        <v>465</v>
      </c>
      <c r="J6" s="327"/>
    </row>
    <row r="7" spans="2:10" s="13" customFormat="1" ht="45" x14ac:dyDescent="0.2">
      <c r="B7" s="319"/>
      <c r="C7" s="321"/>
      <c r="D7" s="15" t="s">
        <v>370</v>
      </c>
      <c r="E7" s="15" t="s">
        <v>240</v>
      </c>
      <c r="F7" s="15" t="s">
        <v>208</v>
      </c>
      <c r="G7" s="15" t="s">
        <v>370</v>
      </c>
      <c r="H7" s="15" t="s">
        <v>239</v>
      </c>
      <c r="I7" s="15" t="s">
        <v>370</v>
      </c>
      <c r="J7" s="15" t="s">
        <v>239</v>
      </c>
    </row>
    <row r="8" spans="2:10" s="13" customFormat="1" ht="30" x14ac:dyDescent="0.2">
      <c r="B8" s="320"/>
      <c r="C8" s="322"/>
      <c r="D8" s="15" t="s">
        <v>10</v>
      </c>
      <c r="E8" s="15" t="s">
        <v>12</v>
      </c>
      <c r="F8" s="15" t="s">
        <v>231</v>
      </c>
      <c r="G8" s="15" t="s">
        <v>10</v>
      </c>
      <c r="H8" s="15" t="s">
        <v>461</v>
      </c>
      <c r="I8" s="15" t="s">
        <v>10</v>
      </c>
      <c r="J8" s="15" t="s">
        <v>461</v>
      </c>
    </row>
    <row r="9" spans="2:10" x14ac:dyDescent="0.2">
      <c r="B9" s="59">
        <v>1</v>
      </c>
      <c r="C9" s="27" t="s">
        <v>224</v>
      </c>
      <c r="D9" s="127"/>
      <c r="E9" s="125">
        <f>'F4'!F21*30%</f>
        <v>1532.739</v>
      </c>
      <c r="F9" s="125">
        <f>E9</f>
        <v>1532.739</v>
      </c>
      <c r="G9" s="129"/>
      <c r="H9" s="130">
        <f>E13</f>
        <v>1533.5989999999999</v>
      </c>
      <c r="I9" s="129"/>
      <c r="J9" s="130">
        <f>H13</f>
        <v>1533.5989999999999</v>
      </c>
    </row>
    <row r="10" spans="2:10" x14ac:dyDescent="0.2">
      <c r="B10" s="20">
        <f>B9+1</f>
        <v>2</v>
      </c>
      <c r="C10" s="27" t="s">
        <v>225</v>
      </c>
      <c r="D10" s="127"/>
      <c r="E10" s="125">
        <f>'F3'!E12</f>
        <v>3.44</v>
      </c>
      <c r="F10" s="125">
        <f>'F3'!F12</f>
        <v>3.44</v>
      </c>
      <c r="G10" s="125">
        <f>'F3'!G12</f>
        <v>0</v>
      </c>
      <c r="H10" s="125">
        <f>'F3'!H12</f>
        <v>0</v>
      </c>
      <c r="I10" s="125">
        <f>'F3'!I12</f>
        <v>0</v>
      </c>
      <c r="J10" s="125">
        <f>'F3'!J12</f>
        <v>4.97</v>
      </c>
    </row>
    <row r="11" spans="2:10" x14ac:dyDescent="0.2">
      <c r="B11" s="20">
        <f t="shared" ref="B11:B21" si="0">B10+1</f>
        <v>3</v>
      </c>
      <c r="C11" s="29" t="s">
        <v>19</v>
      </c>
      <c r="D11" s="128">
        <f>D10*25%</f>
        <v>0</v>
      </c>
      <c r="E11" s="128">
        <f>E10*25%</f>
        <v>0.86</v>
      </c>
      <c r="F11" s="128">
        <f t="shared" ref="F11:J11" si="1">F10*25%</f>
        <v>0.86</v>
      </c>
      <c r="G11" s="128">
        <f t="shared" si="1"/>
        <v>0</v>
      </c>
      <c r="H11" s="128">
        <f t="shared" si="1"/>
        <v>0</v>
      </c>
      <c r="I11" s="128">
        <f t="shared" si="1"/>
        <v>0</v>
      </c>
      <c r="J11" s="128">
        <f t="shared" si="1"/>
        <v>1.2424999999999999</v>
      </c>
    </row>
    <row r="12" spans="2:10" ht="28.5" x14ac:dyDescent="0.2">
      <c r="B12" s="20">
        <f t="shared" si="0"/>
        <v>4</v>
      </c>
      <c r="C12" s="68" t="s">
        <v>20</v>
      </c>
      <c r="D12" s="131"/>
      <c r="E12" s="40"/>
      <c r="F12" s="127"/>
      <c r="G12" s="40"/>
      <c r="H12" s="40"/>
      <c r="I12" s="40"/>
      <c r="J12" s="40"/>
    </row>
    <row r="13" spans="2:10" s="32" customFormat="1" ht="15" x14ac:dyDescent="0.2">
      <c r="B13" s="20">
        <f t="shared" si="0"/>
        <v>5</v>
      </c>
      <c r="C13" s="37" t="s">
        <v>21</v>
      </c>
      <c r="D13" s="132">
        <f>D9+D11-D12</f>
        <v>0</v>
      </c>
      <c r="E13" s="132">
        <f t="shared" ref="E13:J13" si="2">E9+E11-E12</f>
        <v>1533.5989999999999</v>
      </c>
      <c r="F13" s="132">
        <f>F9+F11-F12</f>
        <v>1533.5989999999999</v>
      </c>
      <c r="G13" s="132">
        <f t="shared" si="2"/>
        <v>0</v>
      </c>
      <c r="H13" s="132">
        <f t="shared" si="2"/>
        <v>1533.5989999999999</v>
      </c>
      <c r="I13" s="132"/>
      <c r="J13" s="132">
        <f t="shared" si="2"/>
        <v>1534.8415</v>
      </c>
    </row>
    <row r="14" spans="2:10" s="32" customFormat="1" ht="15" x14ac:dyDescent="0.2">
      <c r="B14" s="20"/>
      <c r="C14" s="70" t="s">
        <v>291</v>
      </c>
      <c r="D14" s="69"/>
      <c r="E14" s="29"/>
      <c r="F14" s="3"/>
      <c r="G14" s="29"/>
      <c r="H14" s="29"/>
      <c r="I14" s="29"/>
      <c r="J14" s="29"/>
    </row>
    <row r="15" spans="2:10" s="32" customFormat="1" ht="15" x14ac:dyDescent="0.2">
      <c r="B15" s="20">
        <f>B13+1</f>
        <v>6</v>
      </c>
      <c r="C15" s="37" t="s">
        <v>292</v>
      </c>
      <c r="D15" s="172">
        <v>0.115</v>
      </c>
      <c r="E15" s="172">
        <v>0.155</v>
      </c>
      <c r="F15" s="172">
        <v>0.155</v>
      </c>
      <c r="G15" s="172">
        <v>0.115</v>
      </c>
      <c r="H15" s="172">
        <v>0.155</v>
      </c>
      <c r="I15" s="172">
        <v>0.155</v>
      </c>
      <c r="J15" s="172">
        <v>0.155</v>
      </c>
    </row>
    <row r="16" spans="2:10" s="32" customFormat="1" ht="15" x14ac:dyDescent="0.2">
      <c r="B16" s="20">
        <f>B15+1</f>
        <v>7</v>
      </c>
      <c r="C16" s="37" t="s">
        <v>293</v>
      </c>
      <c r="D16" s="173">
        <v>0.25168000000000001</v>
      </c>
      <c r="E16" s="173">
        <v>0.25168000000000001</v>
      </c>
      <c r="F16" s="173">
        <v>0.25168000000000001</v>
      </c>
      <c r="G16" s="173">
        <v>0.25168000000000001</v>
      </c>
      <c r="H16" s="173">
        <v>0.25168000000000001</v>
      </c>
      <c r="I16" s="173">
        <v>0.25168000000000001</v>
      </c>
      <c r="J16" s="173">
        <v>0.25168000000000001</v>
      </c>
    </row>
    <row r="17" spans="2:10" s="32" customFormat="1" ht="15" x14ac:dyDescent="0.2">
      <c r="B17" s="20">
        <f>B16+1</f>
        <v>8</v>
      </c>
      <c r="C17" s="30" t="s">
        <v>291</v>
      </c>
      <c r="D17" s="174">
        <f>D15/(1-D16)</f>
        <v>0.15367757109258073</v>
      </c>
      <c r="E17" s="174">
        <f t="shared" ref="E17:J17" si="3">E15/(1-E16)</f>
        <v>0.20713063929869574</v>
      </c>
      <c r="F17" s="174">
        <f t="shared" si="3"/>
        <v>0.20713063929869574</v>
      </c>
      <c r="G17" s="174">
        <f t="shared" si="3"/>
        <v>0.15367757109258073</v>
      </c>
      <c r="H17" s="174">
        <f t="shared" si="3"/>
        <v>0.20713063929869574</v>
      </c>
      <c r="I17" s="174">
        <f t="shared" si="3"/>
        <v>0.20713063929869574</v>
      </c>
      <c r="J17" s="174">
        <f t="shared" si="3"/>
        <v>0.20713063929869574</v>
      </c>
    </row>
    <row r="18" spans="2:10" ht="15" x14ac:dyDescent="0.2">
      <c r="B18" s="20"/>
      <c r="C18" s="70" t="s">
        <v>182</v>
      </c>
      <c r="D18" s="175"/>
      <c r="E18" s="176"/>
      <c r="F18" s="177"/>
      <c r="G18" s="176"/>
      <c r="H18" s="176"/>
      <c r="I18" s="176"/>
      <c r="J18" s="176"/>
    </row>
    <row r="19" spans="2:10" ht="17.25" customHeight="1" x14ac:dyDescent="0.2">
      <c r="B19" s="20">
        <f>B17+1</f>
        <v>9</v>
      </c>
      <c r="C19" s="68" t="s">
        <v>226</v>
      </c>
      <c r="D19" s="115">
        <f>D9*D17</f>
        <v>0</v>
      </c>
      <c r="E19" s="115">
        <f t="shared" ref="E19:J19" si="4">E9*E17</f>
        <v>317.4772089480436</v>
      </c>
      <c r="F19" s="115">
        <f t="shared" si="4"/>
        <v>317.4772089480436</v>
      </c>
      <c r="G19" s="115">
        <f t="shared" si="4"/>
        <v>0</v>
      </c>
      <c r="H19" s="115">
        <f t="shared" si="4"/>
        <v>317.65534129784049</v>
      </c>
      <c r="I19" s="115"/>
      <c r="J19" s="115">
        <f t="shared" si="4"/>
        <v>317.65534129784049</v>
      </c>
    </row>
    <row r="20" spans="2:10" ht="18.75" customHeight="1" x14ac:dyDescent="0.2">
      <c r="B20" s="20">
        <f t="shared" si="0"/>
        <v>10</v>
      </c>
      <c r="C20" s="68" t="s">
        <v>227</v>
      </c>
      <c r="D20" s="115">
        <f>AVERAGE(D9,D13)*D17-D19</f>
        <v>0</v>
      </c>
      <c r="E20" s="115">
        <f t="shared" ref="E20:J20" si="5">AVERAGE(E9,E13)*E17-E19</f>
        <v>8.906617489844848E-2</v>
      </c>
      <c r="F20" s="115">
        <f t="shared" si="5"/>
        <v>8.906617489844848E-2</v>
      </c>
      <c r="G20" s="115">
        <f t="shared" si="5"/>
        <v>0</v>
      </c>
      <c r="H20" s="115">
        <f t="shared" si="5"/>
        <v>0</v>
      </c>
      <c r="I20" s="115"/>
      <c r="J20" s="115">
        <f t="shared" si="5"/>
        <v>0.12867990966429943</v>
      </c>
    </row>
    <row r="21" spans="2:10" ht="15" x14ac:dyDescent="0.2">
      <c r="B21" s="20">
        <f t="shared" si="0"/>
        <v>11</v>
      </c>
      <c r="C21" s="39" t="s">
        <v>183</v>
      </c>
      <c r="D21" s="115">
        <v>243.82</v>
      </c>
      <c r="E21" s="115">
        <f>ROUND((E19+E20),2)</f>
        <v>317.57</v>
      </c>
      <c r="F21" s="115">
        <f>ROUND((F19+F20),2)</f>
        <v>317.57</v>
      </c>
      <c r="G21" s="115">
        <v>328.62</v>
      </c>
      <c r="H21" s="115">
        <f>ROUND((H19+H20),2)</f>
        <v>317.66000000000003</v>
      </c>
      <c r="I21" s="115">
        <v>328.62</v>
      </c>
      <c r="J21" s="115">
        <f>ROUND((J19+J20),2)</f>
        <v>317.77999999999997</v>
      </c>
    </row>
    <row r="22" spans="2:10" x14ac:dyDescent="0.2">
      <c r="C22" s="5" t="s">
        <v>242</v>
      </c>
    </row>
    <row r="23" spans="2:10" x14ac:dyDescent="0.2">
      <c r="C23" s="5" t="s">
        <v>399</v>
      </c>
    </row>
  </sheetData>
  <mergeCells count="5">
    <mergeCell ref="I6:J6"/>
    <mergeCell ref="B6:B8"/>
    <mergeCell ref="C6:C8"/>
    <mergeCell ref="D6:F6"/>
    <mergeCell ref="G6:H6"/>
  </mergeCells>
  <pageMargins left="1.02" right="0.25" top="1" bottom="1" header="0.25" footer="0.25"/>
  <pageSetup paperSize="9" scale="89" orientation="landscape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J28"/>
  <sheetViews>
    <sheetView showGridLines="0" view="pageBreakPreview" topLeftCell="A3" zoomScale="90" zoomScaleNormal="112" zoomScaleSheetLayoutView="90" workbookViewId="0">
      <selection activeCell="J28" sqref="J28"/>
    </sheetView>
  </sheetViews>
  <sheetFormatPr defaultColWidth="9.28515625" defaultRowHeight="14.25" x14ac:dyDescent="0.2"/>
  <cols>
    <col min="1" max="1" width="2.7109375" style="5" customWidth="1"/>
    <col min="2" max="2" width="6.28515625" style="5" customWidth="1"/>
    <col min="3" max="3" width="50.42578125" style="5" customWidth="1"/>
    <col min="4" max="5" width="11.28515625" style="5" customWidth="1"/>
    <col min="6" max="6" width="13.7109375" style="5" customWidth="1"/>
    <col min="7" max="10" width="11.28515625" style="5" customWidth="1"/>
    <col min="11" max="13" width="11.7109375" style="5" bestFit="1" customWidth="1"/>
    <col min="14" max="16384" width="9.28515625" style="5"/>
  </cols>
  <sheetData>
    <row r="2" spans="2:10" ht="15" x14ac:dyDescent="0.2">
      <c r="E2" s="32" t="s">
        <v>401</v>
      </c>
    </row>
    <row r="3" spans="2:10" ht="15" x14ac:dyDescent="0.2">
      <c r="E3" s="32" t="s">
        <v>467</v>
      </c>
    </row>
    <row r="4" spans="2:10" ht="15" x14ac:dyDescent="0.2">
      <c r="B4" s="33"/>
      <c r="C4" s="24"/>
      <c r="D4" s="25"/>
      <c r="E4" s="35" t="s">
        <v>294</v>
      </c>
      <c r="F4" s="25"/>
      <c r="G4" s="25"/>
      <c r="H4" s="25"/>
      <c r="I4" s="25"/>
      <c r="J4" s="25"/>
    </row>
    <row r="5" spans="2:10" ht="15" x14ac:dyDescent="0.2">
      <c r="J5" s="26" t="s">
        <v>4</v>
      </c>
    </row>
    <row r="6" spans="2:10" s="13" customFormat="1" ht="15" customHeight="1" x14ac:dyDescent="0.2">
      <c r="B6" s="318" t="s">
        <v>193</v>
      </c>
      <c r="C6" s="321" t="s">
        <v>18</v>
      </c>
      <c r="D6" s="325" t="s">
        <v>403</v>
      </c>
      <c r="E6" s="326"/>
      <c r="F6" s="327"/>
      <c r="G6" s="325" t="s">
        <v>404</v>
      </c>
      <c r="H6" s="327"/>
      <c r="I6" s="325" t="s">
        <v>465</v>
      </c>
      <c r="J6" s="327"/>
    </row>
    <row r="7" spans="2:10" s="13" customFormat="1" ht="30" x14ac:dyDescent="0.2">
      <c r="B7" s="319"/>
      <c r="C7" s="321"/>
      <c r="D7" s="15" t="s">
        <v>370</v>
      </c>
      <c r="E7" s="15" t="s">
        <v>240</v>
      </c>
      <c r="F7" s="15" t="s">
        <v>208</v>
      </c>
      <c r="G7" s="15" t="s">
        <v>370</v>
      </c>
      <c r="H7" s="15" t="s">
        <v>239</v>
      </c>
      <c r="I7" s="15" t="s">
        <v>370</v>
      </c>
      <c r="J7" s="15" t="s">
        <v>229</v>
      </c>
    </row>
    <row r="8" spans="2:10" s="13" customFormat="1" ht="15" x14ac:dyDescent="0.2">
      <c r="B8" s="320"/>
      <c r="C8" s="322"/>
      <c r="D8" s="15" t="s">
        <v>10</v>
      </c>
      <c r="E8" s="15" t="s">
        <v>12</v>
      </c>
      <c r="F8" s="15" t="s">
        <v>231</v>
      </c>
      <c r="G8" s="15" t="s">
        <v>10</v>
      </c>
      <c r="H8" s="15" t="s">
        <v>5</v>
      </c>
      <c r="I8" s="15" t="s">
        <v>10</v>
      </c>
      <c r="J8" s="15" t="s">
        <v>8</v>
      </c>
    </row>
    <row r="9" spans="2:10" s="13" customFormat="1" ht="15" x14ac:dyDescent="0.2">
      <c r="B9" s="59">
        <v>1</v>
      </c>
      <c r="C9" s="183" t="s">
        <v>416</v>
      </c>
      <c r="D9" s="153"/>
      <c r="E9" s="154">
        <v>0.12184353563243723</v>
      </c>
      <c r="F9" s="154">
        <v>0.12184353563243723</v>
      </c>
      <c r="G9" s="15"/>
      <c r="H9" s="186">
        <v>0.12671727705773472</v>
      </c>
      <c r="I9" s="15"/>
      <c r="J9" s="185">
        <v>0.13178596814004412</v>
      </c>
    </row>
    <row r="10" spans="2:10" s="13" customFormat="1" ht="15" x14ac:dyDescent="0.2">
      <c r="B10" s="59">
        <f>B9+1</f>
        <v>2</v>
      </c>
      <c r="C10" s="183" t="s">
        <v>415</v>
      </c>
      <c r="D10" s="153"/>
      <c r="E10" s="154">
        <v>4.2297141937377991E-3</v>
      </c>
      <c r="F10" s="154">
        <v>4.2297141937377991E-3</v>
      </c>
      <c r="G10" s="15"/>
      <c r="H10" s="186">
        <v>4.3989027614873112E-3</v>
      </c>
      <c r="I10" s="15"/>
      <c r="J10" s="185">
        <v>4.574858871946804E-3</v>
      </c>
    </row>
    <row r="11" spans="2:10" s="13" customFormat="1" ht="15" x14ac:dyDescent="0.2">
      <c r="B11" s="59">
        <f>B10+1</f>
        <v>3</v>
      </c>
      <c r="C11" s="183" t="s">
        <v>414</v>
      </c>
      <c r="D11" s="153"/>
      <c r="E11" s="154">
        <v>8.5845532386553514E-2</v>
      </c>
      <c r="F11" s="154">
        <v>8.5845532386553514E-2</v>
      </c>
      <c r="G11" s="15"/>
      <c r="H11" s="186">
        <v>8.9279353682015644E-2</v>
      </c>
      <c r="I11" s="15"/>
      <c r="J11" s="185">
        <v>9.2850527829296273E-2</v>
      </c>
    </row>
    <row r="12" spans="2:10" s="13" customFormat="1" ht="15" x14ac:dyDescent="0.2">
      <c r="B12" s="184">
        <f t="shared" ref="B12:B27" si="0">B11+1</f>
        <v>4</v>
      </c>
      <c r="C12" s="183" t="s">
        <v>427</v>
      </c>
      <c r="D12" s="153"/>
      <c r="E12" s="154">
        <v>2.6327E-2</v>
      </c>
      <c r="F12" s="154">
        <v>2.6327E-2</v>
      </c>
      <c r="G12" s="15"/>
      <c r="H12" s="186">
        <v>2.7380079999999998E-2</v>
      </c>
      <c r="I12" s="15"/>
      <c r="J12" s="185">
        <v>2.84752832E-2</v>
      </c>
    </row>
    <row r="13" spans="2:10" s="13" customFormat="1" ht="15" x14ac:dyDescent="0.2">
      <c r="B13" s="184">
        <f t="shared" si="0"/>
        <v>5</v>
      </c>
      <c r="C13" s="183" t="s">
        <v>424</v>
      </c>
      <c r="D13" s="154"/>
      <c r="E13" s="154">
        <v>5.7640001187307832E-2</v>
      </c>
      <c r="F13" s="154">
        <v>5.7640001187307832E-2</v>
      </c>
      <c r="G13" s="15"/>
      <c r="H13" s="186">
        <v>5.9945601234800146E-2</v>
      </c>
      <c r="I13" s="15"/>
      <c r="J13" s="185">
        <v>6.2343425284192157E-2</v>
      </c>
    </row>
    <row r="14" spans="2:10" s="13" customFormat="1" ht="15" x14ac:dyDescent="0.2">
      <c r="B14" s="184">
        <f t="shared" si="0"/>
        <v>6</v>
      </c>
      <c r="C14" s="183" t="s">
        <v>410</v>
      </c>
      <c r="D14" s="154"/>
      <c r="E14" s="154">
        <v>0.43142710697226638</v>
      </c>
      <c r="F14" s="154">
        <v>0.43142710697226638</v>
      </c>
      <c r="G14" s="15"/>
      <c r="H14" s="186">
        <v>0.44868419125115699</v>
      </c>
      <c r="I14" s="15"/>
      <c r="J14" s="185">
        <v>0.46663155890120328</v>
      </c>
    </row>
    <row r="15" spans="2:10" s="13" customFormat="1" ht="15" x14ac:dyDescent="0.2">
      <c r="B15" s="184">
        <f t="shared" si="0"/>
        <v>7</v>
      </c>
      <c r="C15" s="183" t="s">
        <v>423</v>
      </c>
      <c r="D15" s="154"/>
      <c r="E15" s="154">
        <v>0.4191452</v>
      </c>
      <c r="F15" s="154">
        <v>0.4191452</v>
      </c>
      <c r="G15" s="15"/>
      <c r="H15" s="186">
        <v>0.43591100800000004</v>
      </c>
      <c r="I15" s="15"/>
      <c r="J15" s="185">
        <v>0.45334744832000007</v>
      </c>
    </row>
    <row r="16" spans="2:10" s="13" customFormat="1" ht="15" x14ac:dyDescent="0.2">
      <c r="B16" s="184">
        <f t="shared" si="0"/>
        <v>8</v>
      </c>
      <c r="C16" s="183" t="s">
        <v>418</v>
      </c>
      <c r="D16" s="154"/>
      <c r="E16" s="154">
        <v>0.24442260757471557</v>
      </c>
      <c r="F16" s="154">
        <v>0.24442260757471557</v>
      </c>
      <c r="G16" s="15"/>
      <c r="H16" s="186">
        <v>0.25419951187770418</v>
      </c>
      <c r="I16" s="15"/>
      <c r="J16" s="185">
        <v>0.26436749235281237</v>
      </c>
    </row>
    <row r="17" spans="2:10" s="13" customFormat="1" ht="15" x14ac:dyDescent="0.2">
      <c r="B17" s="184">
        <f t="shared" si="0"/>
        <v>9</v>
      </c>
      <c r="C17" s="183" t="s">
        <v>411</v>
      </c>
      <c r="D17" s="154"/>
      <c r="E17" s="154">
        <v>10.108189684007419</v>
      </c>
      <c r="F17" s="154">
        <v>10.108189684007419</v>
      </c>
      <c r="G17" s="15"/>
      <c r="H17" s="186">
        <v>10.512517271367717</v>
      </c>
      <c r="I17" s="15"/>
      <c r="J17" s="185">
        <v>10.933017962222426</v>
      </c>
    </row>
    <row r="18" spans="2:10" s="13" customFormat="1" ht="15" x14ac:dyDescent="0.2">
      <c r="B18" s="184">
        <f t="shared" si="0"/>
        <v>10</v>
      </c>
      <c r="C18" s="183" t="s">
        <v>469</v>
      </c>
      <c r="D18" s="154"/>
      <c r="E18" s="154">
        <v>0</v>
      </c>
      <c r="F18" s="154">
        <v>0</v>
      </c>
      <c r="G18" s="15"/>
      <c r="H18" s="186">
        <v>0</v>
      </c>
      <c r="I18" s="15"/>
      <c r="J18" s="185">
        <v>0</v>
      </c>
    </row>
    <row r="19" spans="2:10" s="13" customFormat="1" ht="15" x14ac:dyDescent="0.2">
      <c r="B19" s="184">
        <f t="shared" si="0"/>
        <v>11</v>
      </c>
      <c r="C19" s="183" t="s">
        <v>413</v>
      </c>
      <c r="D19" s="154"/>
      <c r="E19" s="154">
        <v>0.83833713200000004</v>
      </c>
      <c r="F19" s="154">
        <v>0.83833713200000004</v>
      </c>
      <c r="G19" s="15"/>
      <c r="H19" s="186">
        <v>1.1208480756999999</v>
      </c>
      <c r="I19" s="15"/>
      <c r="J19" s="185">
        <v>1.1656819987279998</v>
      </c>
    </row>
    <row r="20" spans="2:10" s="13" customFormat="1" ht="15" x14ac:dyDescent="0.2">
      <c r="B20" s="184">
        <f t="shared" si="0"/>
        <v>12</v>
      </c>
      <c r="C20" s="183" t="s">
        <v>412</v>
      </c>
      <c r="D20" s="154"/>
      <c r="E20" s="154">
        <v>0</v>
      </c>
      <c r="F20" s="154">
        <v>0</v>
      </c>
      <c r="G20" s="15"/>
      <c r="H20" s="186">
        <v>0</v>
      </c>
      <c r="I20" s="15"/>
      <c r="J20" s="185">
        <v>0</v>
      </c>
    </row>
    <row r="21" spans="2:10" x14ac:dyDescent="0.2">
      <c r="B21" s="184">
        <f t="shared" si="0"/>
        <v>13</v>
      </c>
      <c r="C21" s="183" t="s">
        <v>417</v>
      </c>
      <c r="D21" s="154"/>
      <c r="E21" s="154">
        <v>2.60282178355224E-3</v>
      </c>
      <c r="F21" s="154">
        <v>2.60282178355224E-3</v>
      </c>
      <c r="G21" s="21"/>
      <c r="H21" s="130">
        <v>2.7069346548943296E-3</v>
      </c>
      <c r="I21" s="21"/>
      <c r="J21" s="130">
        <v>2.8152120410901028E-3</v>
      </c>
    </row>
    <row r="22" spans="2:10" x14ac:dyDescent="0.2">
      <c r="B22" s="184">
        <f t="shared" si="0"/>
        <v>14</v>
      </c>
      <c r="C22" s="183" t="s">
        <v>421</v>
      </c>
      <c r="D22" s="154"/>
      <c r="E22" s="154">
        <v>0.16370193074062103</v>
      </c>
      <c r="F22" s="154">
        <v>0.16370193074062103</v>
      </c>
      <c r="G22" s="21"/>
      <c r="H22" s="130">
        <v>0.17025000797024589</v>
      </c>
      <c r="I22" s="21"/>
      <c r="J22" s="130">
        <v>0.17706000828905574</v>
      </c>
    </row>
    <row r="23" spans="2:10" x14ac:dyDescent="0.2">
      <c r="B23" s="184">
        <f t="shared" si="0"/>
        <v>15</v>
      </c>
      <c r="C23" s="183" t="s">
        <v>425</v>
      </c>
      <c r="D23" s="154"/>
      <c r="E23" s="154">
        <v>0.16491515165159143</v>
      </c>
      <c r="F23" s="154">
        <v>0.16491515165159143</v>
      </c>
      <c r="G23" s="21"/>
      <c r="H23" s="130">
        <v>0.17151175771765506</v>
      </c>
      <c r="I23" s="21"/>
      <c r="J23" s="130">
        <v>0.17837222802636127</v>
      </c>
    </row>
    <row r="24" spans="2:10" x14ac:dyDescent="0.2">
      <c r="B24" s="184">
        <f t="shared" si="0"/>
        <v>16</v>
      </c>
      <c r="C24" s="183" t="s">
        <v>426</v>
      </c>
      <c r="D24" s="154"/>
      <c r="E24" s="154">
        <v>1.1682902875135306E-2</v>
      </c>
      <c r="F24" s="154">
        <v>1.1682902875135306E-2</v>
      </c>
      <c r="G24" s="21"/>
      <c r="H24" s="130">
        <v>1.215021899014072E-2</v>
      </c>
      <c r="I24" s="21"/>
      <c r="J24" s="130">
        <v>1.263622774974635E-2</v>
      </c>
    </row>
    <row r="25" spans="2:10" ht="15.75" customHeight="1" x14ac:dyDescent="0.2">
      <c r="B25" s="184">
        <f t="shared" si="0"/>
        <v>17</v>
      </c>
      <c r="C25" s="183" t="s">
        <v>422</v>
      </c>
      <c r="D25" s="155">
        <f>SUM(D9:D20)</f>
        <v>0</v>
      </c>
      <c r="E25" s="154">
        <v>0.21699661236002873</v>
      </c>
      <c r="F25" s="154">
        <v>0.21699661236002873</v>
      </c>
      <c r="G25" s="29"/>
      <c r="H25" s="125">
        <v>0.2256764768544299</v>
      </c>
      <c r="I25" s="29"/>
      <c r="J25" s="125">
        <v>0.2347035359286071</v>
      </c>
    </row>
    <row r="26" spans="2:10" s="32" customFormat="1" ht="15" x14ac:dyDescent="0.2">
      <c r="B26" s="184">
        <f t="shared" si="0"/>
        <v>18</v>
      </c>
      <c r="C26" s="183" t="s">
        <v>420</v>
      </c>
      <c r="D26" s="155"/>
      <c r="E26" s="154">
        <v>3.4683682504510222E-3</v>
      </c>
      <c r="F26" s="154">
        <v>3.4683682504510222E-3</v>
      </c>
      <c r="G26" s="29"/>
      <c r="H26" s="125">
        <v>2.0168183863818131E-2</v>
      </c>
      <c r="I26" s="29"/>
      <c r="J26" s="125">
        <v>2.0974911218370858E-2</v>
      </c>
    </row>
    <row r="27" spans="2:10" s="32" customFormat="1" ht="15" x14ac:dyDescent="0.2">
      <c r="B27" s="184">
        <f t="shared" si="0"/>
        <v>19</v>
      </c>
      <c r="C27" s="183" t="s">
        <v>419</v>
      </c>
      <c r="D27" s="155"/>
      <c r="E27" s="154">
        <v>1.495E-2</v>
      </c>
      <c r="F27" s="154">
        <v>1.495E-2</v>
      </c>
      <c r="G27" s="29"/>
      <c r="H27" s="125">
        <v>2.2641449999233555E-2</v>
      </c>
      <c r="I27" s="29"/>
      <c r="J27" s="125">
        <v>2.3547107999202899E-2</v>
      </c>
    </row>
    <row r="28" spans="2:10" ht="15" x14ac:dyDescent="0.2">
      <c r="B28" s="20"/>
      <c r="C28" s="31" t="s">
        <v>139</v>
      </c>
      <c r="D28" s="115">
        <v>10.83</v>
      </c>
      <c r="E28" s="115">
        <f>ROUND(SUM(E9:E27),2)</f>
        <v>12.92</v>
      </c>
      <c r="F28" s="115">
        <f>ROUND(SUM(F9:F27),2)</f>
        <v>12.92</v>
      </c>
      <c r="G28" s="115">
        <v>11.27</v>
      </c>
      <c r="H28" s="115">
        <f>ROUND(SUM(H9:H27),2)</f>
        <v>13.7</v>
      </c>
      <c r="I28" s="115">
        <v>11.72</v>
      </c>
      <c r="J28" s="115">
        <f>ROUND(SUM(J9:J27),2)</f>
        <v>14.25</v>
      </c>
    </row>
  </sheetData>
  <mergeCells count="5">
    <mergeCell ref="I6:J6"/>
    <mergeCell ref="B6:B8"/>
    <mergeCell ref="C6:C8"/>
    <mergeCell ref="D6:F6"/>
    <mergeCell ref="G6:H6"/>
  </mergeCells>
  <pageMargins left="0.27" right="0.25" top="0.25" bottom="1" header="0.25" footer="0.25"/>
  <pageSetup paperSize="9" orientation="landscape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F31"/>
  <sheetViews>
    <sheetView showGridLines="0" view="pageBreakPreview" zoomScaleNormal="93" zoomScaleSheetLayoutView="100" workbookViewId="0">
      <selection activeCell="B3" sqref="B3:F3"/>
    </sheetView>
  </sheetViews>
  <sheetFormatPr defaultColWidth="9.28515625" defaultRowHeight="14.25" x14ac:dyDescent="0.2"/>
  <cols>
    <col min="1" max="1" width="3.28515625" style="5" customWidth="1"/>
    <col min="2" max="2" width="8.28515625" style="5" customWidth="1"/>
    <col min="3" max="3" width="26.7109375" style="5" customWidth="1"/>
    <col min="4" max="4" width="15.7109375" style="5" customWidth="1"/>
    <col min="5" max="5" width="18" style="5" bestFit="1" customWidth="1"/>
    <col min="6" max="6" width="15.7109375" style="5" customWidth="1"/>
    <col min="7" max="16384" width="9.28515625" style="5"/>
  </cols>
  <sheetData>
    <row r="2" spans="2:6" ht="15" x14ac:dyDescent="0.2">
      <c r="B2" s="328" t="s">
        <v>401</v>
      </c>
      <c r="C2" s="328"/>
      <c r="D2" s="328"/>
      <c r="E2" s="328"/>
      <c r="F2" s="328"/>
    </row>
    <row r="3" spans="2:6" ht="15" x14ac:dyDescent="0.2">
      <c r="B3" s="328" t="s">
        <v>467</v>
      </c>
      <c r="C3" s="328"/>
      <c r="D3" s="328"/>
      <c r="E3" s="328"/>
      <c r="F3" s="328"/>
    </row>
    <row r="4" spans="2:6" ht="14.25" customHeight="1" x14ac:dyDescent="0.2">
      <c r="B4" s="328" t="s">
        <v>296</v>
      </c>
      <c r="C4" s="328"/>
      <c r="D4" s="328"/>
      <c r="E4" s="328"/>
      <c r="F4" s="328"/>
    </row>
    <row r="5" spans="2:6" ht="15" x14ac:dyDescent="0.2">
      <c r="B5" s="24"/>
      <c r="C5" s="72"/>
      <c r="D5" s="73"/>
    </row>
    <row r="6" spans="2:6" ht="15" customHeight="1" x14ac:dyDescent="0.2">
      <c r="B6" s="330" t="s">
        <v>2</v>
      </c>
      <c r="C6" s="335" t="s">
        <v>18</v>
      </c>
      <c r="D6" s="134" t="s">
        <v>403</v>
      </c>
      <c r="E6" s="23" t="s">
        <v>404</v>
      </c>
      <c r="F6" s="23" t="s">
        <v>465</v>
      </c>
    </row>
    <row r="7" spans="2:6" ht="15" x14ac:dyDescent="0.2">
      <c r="B7" s="330"/>
      <c r="C7" s="335"/>
      <c r="D7" s="15" t="s">
        <v>295</v>
      </c>
      <c r="E7" s="15" t="s">
        <v>239</v>
      </c>
      <c r="F7" s="15" t="s">
        <v>239</v>
      </c>
    </row>
    <row r="8" spans="2:6" ht="24.75" customHeight="1" x14ac:dyDescent="0.2">
      <c r="B8" s="356"/>
      <c r="C8" s="357"/>
      <c r="D8" s="15" t="s">
        <v>3</v>
      </c>
      <c r="E8" s="15" t="s">
        <v>5</v>
      </c>
      <c r="F8" s="15" t="s">
        <v>8</v>
      </c>
    </row>
    <row r="9" spans="2:6" ht="15" x14ac:dyDescent="0.2">
      <c r="B9" s="74">
        <v>1</v>
      </c>
      <c r="C9" s="75" t="s">
        <v>165</v>
      </c>
      <c r="D9" s="71"/>
      <c r="E9" s="71"/>
      <c r="F9" s="27"/>
    </row>
    <row r="10" spans="2:6" s="32" customFormat="1" ht="15" x14ac:dyDescent="0.2">
      <c r="B10" s="76" t="s">
        <v>57</v>
      </c>
      <c r="C10" s="39" t="s">
        <v>58</v>
      </c>
      <c r="D10" s="77"/>
      <c r="E10" s="39"/>
      <c r="F10" s="39"/>
    </row>
    <row r="11" spans="2:6" s="32" customFormat="1" ht="15" x14ac:dyDescent="0.2">
      <c r="B11" s="78"/>
      <c r="C11" s="29" t="s">
        <v>59</v>
      </c>
      <c r="D11" s="77"/>
      <c r="E11" s="39"/>
      <c r="F11" s="39"/>
    </row>
    <row r="12" spans="2:6" s="32" customFormat="1" ht="15" x14ac:dyDescent="0.2">
      <c r="B12" s="78"/>
      <c r="C12" s="29" t="s">
        <v>60</v>
      </c>
      <c r="D12" s="77"/>
      <c r="E12" s="39"/>
      <c r="F12" s="39"/>
    </row>
    <row r="13" spans="2:6" s="32" customFormat="1" ht="15" x14ac:dyDescent="0.2">
      <c r="B13" s="78"/>
      <c r="C13" s="29" t="s">
        <v>61</v>
      </c>
      <c r="D13" s="77" t="s">
        <v>462</v>
      </c>
      <c r="E13" s="39"/>
      <c r="F13" s="39"/>
    </row>
    <row r="14" spans="2:6" s="32" customFormat="1" ht="15" x14ac:dyDescent="0.2">
      <c r="B14" s="78"/>
      <c r="C14" s="79"/>
      <c r="D14" s="77"/>
      <c r="E14" s="39"/>
      <c r="F14" s="39"/>
    </row>
    <row r="15" spans="2:6" s="32" customFormat="1" ht="15" x14ac:dyDescent="0.2">
      <c r="B15" s="76" t="s">
        <v>62</v>
      </c>
      <c r="C15" s="80" t="s">
        <v>63</v>
      </c>
      <c r="D15" s="77"/>
      <c r="E15" s="39"/>
      <c r="F15" s="39"/>
    </row>
    <row r="16" spans="2:6" s="32" customFormat="1" ht="15" x14ac:dyDescent="0.2">
      <c r="B16" s="78"/>
      <c r="C16" s="29" t="s">
        <v>59</v>
      </c>
      <c r="D16" s="77"/>
      <c r="E16" s="39"/>
      <c r="F16" s="39"/>
    </row>
    <row r="17" spans="2:6" x14ac:dyDescent="0.2">
      <c r="B17" s="78"/>
      <c r="C17" s="29" t="s">
        <v>60</v>
      </c>
      <c r="D17" s="77"/>
      <c r="E17" s="27"/>
      <c r="F17" s="27"/>
    </row>
    <row r="18" spans="2:6" x14ac:dyDescent="0.2">
      <c r="B18" s="81"/>
      <c r="C18" s="29" t="s">
        <v>64</v>
      </c>
      <c r="D18" s="77"/>
      <c r="E18" s="27"/>
      <c r="F18" s="27"/>
    </row>
    <row r="19" spans="2:6" ht="15" x14ac:dyDescent="0.2">
      <c r="B19" s="81"/>
      <c r="C19" s="80"/>
      <c r="D19" s="77"/>
      <c r="E19" s="27"/>
      <c r="F19" s="27"/>
    </row>
    <row r="20" spans="2:6" ht="17.25" customHeight="1" x14ac:dyDescent="0.2">
      <c r="B20" s="76">
        <v>2</v>
      </c>
      <c r="C20" s="75" t="s">
        <v>166</v>
      </c>
      <c r="D20" s="77"/>
      <c r="E20" s="27"/>
      <c r="F20" s="27"/>
    </row>
    <row r="21" spans="2:6" ht="17.25" customHeight="1" x14ac:dyDescent="0.2">
      <c r="B21" s="76"/>
      <c r="C21" s="75" t="s">
        <v>65</v>
      </c>
      <c r="D21" s="77"/>
      <c r="E21" s="27"/>
      <c r="F21" s="27"/>
    </row>
    <row r="22" spans="2:6" ht="17.25" customHeight="1" x14ac:dyDescent="0.2">
      <c r="B22" s="76"/>
      <c r="C22" s="75" t="s">
        <v>65</v>
      </c>
      <c r="D22" s="77"/>
      <c r="E22" s="27"/>
      <c r="F22" s="27"/>
    </row>
    <row r="23" spans="2:6" ht="15" x14ac:dyDescent="0.2">
      <c r="B23" s="78"/>
      <c r="C23" s="80" t="s">
        <v>66</v>
      </c>
      <c r="D23" s="77"/>
      <c r="E23" s="27"/>
      <c r="F23" s="27"/>
    </row>
    <row r="25" spans="2:6" ht="15" x14ac:dyDescent="0.2">
      <c r="B25" s="82" t="s">
        <v>54</v>
      </c>
      <c r="C25" s="83"/>
      <c r="D25" s="83"/>
      <c r="E25" s="83"/>
    </row>
    <row r="26" spans="2:6" x14ac:dyDescent="0.2">
      <c r="B26" s="5" t="s">
        <v>210</v>
      </c>
      <c r="D26" s="84"/>
      <c r="E26" s="83"/>
    </row>
    <row r="27" spans="2:6" ht="18" customHeight="1" x14ac:dyDescent="0.2">
      <c r="B27" s="83"/>
      <c r="E27" s="83"/>
    </row>
    <row r="28" spans="2:6" x14ac:dyDescent="0.2">
      <c r="B28" s="83"/>
      <c r="C28" s="83"/>
      <c r="D28" s="83"/>
      <c r="E28" s="83"/>
    </row>
    <row r="29" spans="2:6" x14ac:dyDescent="0.2">
      <c r="B29" s="83"/>
      <c r="C29" s="83"/>
      <c r="D29" s="83"/>
      <c r="E29" s="83"/>
    </row>
    <row r="30" spans="2:6" x14ac:dyDescent="0.2">
      <c r="B30" s="83"/>
      <c r="C30" s="83"/>
      <c r="D30" s="83"/>
      <c r="E30" s="83"/>
    </row>
    <row r="31" spans="2:6" x14ac:dyDescent="0.2">
      <c r="B31" s="83"/>
      <c r="C31" s="83"/>
      <c r="D31" s="83"/>
      <c r="E31" s="83"/>
    </row>
  </sheetData>
  <mergeCells count="5">
    <mergeCell ref="B6:B8"/>
    <mergeCell ref="C6:C8"/>
    <mergeCell ref="B4:F4"/>
    <mergeCell ref="B3:F3"/>
    <mergeCell ref="B2:F2"/>
  </mergeCells>
  <pageMargins left="0.75" right="0.75" top="1" bottom="1" header="0.5" footer="0.5"/>
  <pageSetup paperSize="9" scale="97" orientation="landscape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L48"/>
  <sheetViews>
    <sheetView showGridLines="0" view="pageBreakPreview" topLeftCell="A19" zoomScaleNormal="91" zoomScaleSheetLayoutView="100" workbookViewId="0">
      <selection activeCell="G29" sqref="G29"/>
    </sheetView>
  </sheetViews>
  <sheetFormatPr defaultColWidth="9.28515625" defaultRowHeight="14.25" x14ac:dyDescent="0.2"/>
  <cols>
    <col min="1" max="1" width="3.28515625" style="5" customWidth="1"/>
    <col min="2" max="2" width="6.28515625" style="5" customWidth="1"/>
    <col min="3" max="3" width="55.28515625" style="5" customWidth="1"/>
    <col min="4" max="4" width="11" style="34" customWidth="1"/>
    <col min="5" max="5" width="14" style="34" customWidth="1"/>
    <col min="6" max="6" width="12.140625" style="5" customWidth="1"/>
    <col min="7" max="7" width="15" style="5" customWidth="1"/>
    <col min="8" max="8" width="13.7109375" style="5" customWidth="1"/>
    <col min="9" max="9" width="13.28515625" style="46" customWidth="1"/>
    <col min="10" max="10" width="13.28515625" style="5" customWidth="1"/>
    <col min="11" max="11" width="12.7109375" style="46" customWidth="1"/>
    <col min="12" max="12" width="13.7109375" style="5" customWidth="1"/>
    <col min="13" max="16384" width="9.28515625" style="5"/>
  </cols>
  <sheetData>
    <row r="2" spans="2:12" ht="15" x14ac:dyDescent="0.2">
      <c r="B2" s="36"/>
      <c r="D2" s="5"/>
      <c r="E2" s="5"/>
      <c r="F2" s="32" t="s">
        <v>401</v>
      </c>
    </row>
    <row r="3" spans="2:12" ht="15" x14ac:dyDescent="0.2">
      <c r="B3" s="32"/>
      <c r="D3" s="5"/>
      <c r="E3" s="5"/>
      <c r="F3" s="32" t="s">
        <v>467</v>
      </c>
    </row>
    <row r="4" spans="2:12" s="13" customFormat="1" ht="15" x14ac:dyDescent="0.2">
      <c r="B4" s="36"/>
      <c r="C4" s="5"/>
      <c r="D4" s="5"/>
      <c r="E4" s="5"/>
      <c r="F4" s="35" t="s">
        <v>297</v>
      </c>
      <c r="G4" s="5"/>
      <c r="H4" s="5"/>
      <c r="I4" s="46"/>
      <c r="J4" s="5"/>
      <c r="K4" s="46"/>
      <c r="L4" s="5"/>
    </row>
    <row r="5" spans="2:12" s="13" customFormat="1" ht="15" x14ac:dyDescent="0.2">
      <c r="C5" s="72"/>
      <c r="D5" s="34"/>
      <c r="E5" s="34"/>
      <c r="F5" s="256"/>
      <c r="G5" s="256"/>
      <c r="H5" s="256"/>
      <c r="I5" s="282"/>
      <c r="K5" s="282"/>
    </row>
    <row r="6" spans="2:12" ht="15" x14ac:dyDescent="0.2">
      <c r="B6" s="358" t="s">
        <v>193</v>
      </c>
      <c r="C6" s="360" t="s">
        <v>18</v>
      </c>
      <c r="D6" s="360" t="s">
        <v>39</v>
      </c>
      <c r="E6" s="325" t="s">
        <v>403</v>
      </c>
      <c r="F6" s="326"/>
      <c r="G6" s="327"/>
      <c r="H6" s="325" t="s">
        <v>404</v>
      </c>
      <c r="I6" s="326"/>
      <c r="J6" s="325" t="s">
        <v>465</v>
      </c>
      <c r="K6" s="327"/>
      <c r="L6" s="358" t="s">
        <v>11</v>
      </c>
    </row>
    <row r="7" spans="2:12" ht="30" x14ac:dyDescent="0.2">
      <c r="B7" s="360"/>
      <c r="C7" s="360"/>
      <c r="D7" s="360"/>
      <c r="E7" s="178" t="s">
        <v>370</v>
      </c>
      <c r="F7" s="178" t="s">
        <v>240</v>
      </c>
      <c r="G7" s="178" t="s">
        <v>208</v>
      </c>
      <c r="H7" s="178" t="s">
        <v>370</v>
      </c>
      <c r="I7" s="283" t="s">
        <v>232</v>
      </c>
      <c r="J7" s="178" t="s">
        <v>370</v>
      </c>
      <c r="K7" s="283" t="s">
        <v>232</v>
      </c>
      <c r="L7" s="358"/>
    </row>
    <row r="8" spans="2:12" ht="30" x14ac:dyDescent="0.2">
      <c r="B8" s="360"/>
      <c r="C8" s="360"/>
      <c r="D8" s="360"/>
      <c r="E8" s="178" t="s">
        <v>10</v>
      </c>
      <c r="F8" s="178" t="s">
        <v>12</v>
      </c>
      <c r="G8" s="178" t="s">
        <v>231</v>
      </c>
      <c r="H8" s="178" t="s">
        <v>10</v>
      </c>
      <c r="I8" s="283" t="s">
        <v>490</v>
      </c>
      <c r="J8" s="178" t="s">
        <v>10</v>
      </c>
      <c r="K8" s="283" t="s">
        <v>461</v>
      </c>
      <c r="L8" s="359"/>
    </row>
    <row r="9" spans="2:12" ht="15" x14ac:dyDescent="0.2">
      <c r="B9" s="178"/>
      <c r="C9" s="179"/>
      <c r="D9" s="257"/>
      <c r="E9" s="257"/>
      <c r="F9" s="255"/>
      <c r="G9" s="255"/>
      <c r="H9" s="255"/>
      <c r="I9" s="284"/>
      <c r="J9" s="255"/>
      <c r="K9" s="284"/>
      <c r="L9" s="255"/>
    </row>
    <row r="10" spans="2:12" ht="15" x14ac:dyDescent="0.2">
      <c r="B10" s="258">
        <v>1</v>
      </c>
      <c r="C10" s="259" t="s">
        <v>212</v>
      </c>
      <c r="D10" s="258" t="s">
        <v>40</v>
      </c>
      <c r="E10" s="258">
        <v>800</v>
      </c>
      <c r="F10" s="181"/>
      <c r="G10" s="181"/>
      <c r="H10" s="181"/>
      <c r="I10" s="285"/>
      <c r="J10" s="181"/>
      <c r="K10" s="284"/>
      <c r="L10" s="255"/>
    </row>
    <row r="11" spans="2:12" ht="15" x14ac:dyDescent="0.2">
      <c r="B11" s="258"/>
      <c r="C11" s="259" t="s">
        <v>344</v>
      </c>
      <c r="D11" s="258"/>
      <c r="E11" s="258" t="s">
        <v>468</v>
      </c>
      <c r="F11" s="181"/>
      <c r="G11" s="181"/>
      <c r="H11" s="181"/>
      <c r="I11" s="285"/>
      <c r="J11" s="181"/>
      <c r="K11" s="284"/>
      <c r="L11" s="255"/>
    </row>
    <row r="12" spans="2:12" ht="13.5" customHeight="1" x14ac:dyDescent="0.2">
      <c r="B12" s="258"/>
      <c r="C12" s="259" t="s">
        <v>221</v>
      </c>
      <c r="D12" s="258"/>
      <c r="E12" s="258" t="s">
        <v>491</v>
      </c>
      <c r="F12" s="181"/>
      <c r="G12" s="181"/>
      <c r="H12" s="181"/>
      <c r="I12" s="285"/>
      <c r="J12" s="181"/>
      <c r="K12" s="284"/>
      <c r="L12" s="255"/>
    </row>
    <row r="13" spans="2:12" ht="15" x14ac:dyDescent="0.2">
      <c r="B13" s="258"/>
      <c r="C13" s="259"/>
      <c r="D13" s="258"/>
      <c r="E13" s="258"/>
      <c r="F13" s="181"/>
      <c r="G13" s="181"/>
      <c r="H13" s="181"/>
      <c r="I13" s="285"/>
      <c r="J13" s="181"/>
      <c r="K13" s="284"/>
      <c r="L13" s="255"/>
    </row>
    <row r="14" spans="2:12" ht="15" x14ac:dyDescent="0.2">
      <c r="B14" s="178">
        <v>2</v>
      </c>
      <c r="C14" s="179" t="s">
        <v>173</v>
      </c>
      <c r="D14" s="258"/>
      <c r="E14" s="258"/>
      <c r="F14" s="260"/>
      <c r="G14" s="260"/>
      <c r="H14" s="260"/>
      <c r="I14" s="286"/>
      <c r="J14" s="260"/>
      <c r="K14" s="284"/>
      <c r="L14" s="255"/>
    </row>
    <row r="15" spans="2:12" x14ac:dyDescent="0.2">
      <c r="B15" s="258">
        <f>B14+0.1</f>
        <v>2.1</v>
      </c>
      <c r="C15" s="259" t="s">
        <v>41</v>
      </c>
      <c r="D15" s="258" t="s">
        <v>42</v>
      </c>
      <c r="E15" s="261">
        <v>85</v>
      </c>
      <c r="F15" s="261">
        <v>85</v>
      </c>
      <c r="G15" s="261">
        <v>85</v>
      </c>
      <c r="H15" s="261">
        <v>85</v>
      </c>
      <c r="I15" s="270">
        <v>85</v>
      </c>
      <c r="J15" s="261">
        <v>85</v>
      </c>
      <c r="K15" s="270">
        <v>85</v>
      </c>
      <c r="L15" s="262"/>
    </row>
    <row r="16" spans="2:12" x14ac:dyDescent="0.2">
      <c r="B16" s="258">
        <f>B15+0.1</f>
        <v>2.2000000000000002</v>
      </c>
      <c r="C16" s="259" t="s">
        <v>157</v>
      </c>
      <c r="D16" s="258" t="s">
        <v>42</v>
      </c>
      <c r="E16" s="261"/>
      <c r="F16" s="261">
        <v>87.55</v>
      </c>
      <c r="G16" s="261">
        <f>F16</f>
        <v>87.55</v>
      </c>
      <c r="H16" s="261"/>
      <c r="I16" s="270">
        <v>85</v>
      </c>
      <c r="J16" s="261"/>
      <c r="K16" s="271">
        <v>85</v>
      </c>
      <c r="L16" s="262"/>
    </row>
    <row r="17" spans="2:12" x14ac:dyDescent="0.2">
      <c r="B17" s="258"/>
      <c r="C17" s="259"/>
      <c r="D17" s="258"/>
      <c r="E17" s="261"/>
      <c r="F17" s="261"/>
      <c r="G17" s="261"/>
      <c r="H17" s="261"/>
      <c r="I17" s="270"/>
      <c r="J17" s="261"/>
      <c r="K17" s="271"/>
      <c r="L17" s="262"/>
    </row>
    <row r="18" spans="2:12" ht="15" x14ac:dyDescent="0.2">
      <c r="B18" s="178">
        <v>3</v>
      </c>
      <c r="C18" s="179" t="s">
        <v>174</v>
      </c>
      <c r="D18" s="258"/>
      <c r="E18" s="261"/>
      <c r="F18" s="261"/>
      <c r="G18" s="261"/>
      <c r="H18" s="261"/>
      <c r="I18" s="270"/>
      <c r="J18" s="261"/>
      <c r="K18" s="271"/>
      <c r="L18" s="262"/>
    </row>
    <row r="19" spans="2:12" x14ac:dyDescent="0.2">
      <c r="B19" s="258">
        <f>B18+0.1</f>
        <v>3.1</v>
      </c>
      <c r="C19" s="259" t="s">
        <v>43</v>
      </c>
      <c r="D19" s="258" t="s">
        <v>42</v>
      </c>
      <c r="E19" s="261">
        <v>85</v>
      </c>
      <c r="F19" s="261">
        <v>85</v>
      </c>
      <c r="G19" s="261">
        <v>85</v>
      </c>
      <c r="H19" s="261">
        <v>85</v>
      </c>
      <c r="I19" s="270">
        <v>85</v>
      </c>
      <c r="J19" s="261">
        <v>85</v>
      </c>
      <c r="K19" s="270">
        <v>85</v>
      </c>
      <c r="L19" s="262"/>
    </row>
    <row r="20" spans="2:12" x14ac:dyDescent="0.2">
      <c r="B20" s="258">
        <f>B19+0.1</f>
        <v>3.2</v>
      </c>
      <c r="C20" s="259" t="s">
        <v>158</v>
      </c>
      <c r="D20" s="258" t="s">
        <v>42</v>
      </c>
      <c r="E20" s="261"/>
      <c r="F20" s="261">
        <v>87.55</v>
      </c>
      <c r="G20" s="261">
        <v>87.55</v>
      </c>
      <c r="H20" s="261"/>
      <c r="I20" s="270">
        <v>85</v>
      </c>
      <c r="J20" s="261"/>
      <c r="K20" s="271">
        <v>85</v>
      </c>
      <c r="L20" s="262"/>
    </row>
    <row r="21" spans="2:12" x14ac:dyDescent="0.2">
      <c r="B21" s="258"/>
      <c r="C21" s="259"/>
      <c r="D21" s="258"/>
      <c r="E21" s="261"/>
      <c r="F21" s="261"/>
      <c r="G21" s="261"/>
      <c r="H21" s="261"/>
      <c r="I21" s="270"/>
      <c r="J21" s="261"/>
      <c r="K21" s="271"/>
      <c r="L21" s="262"/>
    </row>
    <row r="22" spans="2:12" ht="15" x14ac:dyDescent="0.2">
      <c r="B22" s="178">
        <v>4</v>
      </c>
      <c r="C22" s="179" t="s">
        <v>56</v>
      </c>
      <c r="D22" s="258"/>
      <c r="E22" s="261"/>
      <c r="F22" s="263"/>
      <c r="G22" s="261"/>
      <c r="H22" s="261"/>
      <c r="I22" s="270"/>
      <c r="J22" s="261"/>
      <c r="K22" s="271"/>
      <c r="L22" s="262"/>
    </row>
    <row r="23" spans="2:12" ht="15.75" x14ac:dyDescent="0.25">
      <c r="B23" s="258">
        <f>B22+0.1</f>
        <v>4.0999999999999996</v>
      </c>
      <c r="C23" s="259" t="s">
        <v>44</v>
      </c>
      <c r="D23" s="258" t="s">
        <v>45</v>
      </c>
      <c r="E23" s="261"/>
      <c r="F23" s="264">
        <v>5288.9838014172001</v>
      </c>
      <c r="G23" s="265">
        <f>F23</f>
        <v>5288.9838014172001</v>
      </c>
      <c r="H23" s="261"/>
      <c r="I23" s="287">
        <v>4915.6866410000002</v>
      </c>
      <c r="J23" s="261"/>
      <c r="K23" s="291">
        <v>5644.07</v>
      </c>
      <c r="L23" s="262"/>
    </row>
    <row r="24" spans="2:12" x14ac:dyDescent="0.2">
      <c r="B24" s="258">
        <f>B23+0.1</f>
        <v>4.1999999999999993</v>
      </c>
      <c r="C24" s="266" t="s">
        <v>159</v>
      </c>
      <c r="D24" s="258" t="s">
        <v>45</v>
      </c>
      <c r="E24" s="261"/>
      <c r="F24" s="265">
        <v>5538.9875999999995</v>
      </c>
      <c r="G24" s="265">
        <f>F24</f>
        <v>5538.9875999999995</v>
      </c>
      <c r="H24" s="261"/>
      <c r="I24" s="281">
        <v>5186.8892999999998</v>
      </c>
      <c r="J24" s="261"/>
      <c r="K24" s="271">
        <v>5956.8</v>
      </c>
      <c r="L24" s="262"/>
    </row>
    <row r="25" spans="2:12" x14ac:dyDescent="0.2">
      <c r="B25" s="258"/>
      <c r="C25" s="266"/>
      <c r="D25" s="258"/>
      <c r="E25" s="261"/>
      <c r="F25" s="261"/>
      <c r="G25" s="261"/>
      <c r="H25" s="261"/>
      <c r="I25" s="270"/>
      <c r="J25" s="261"/>
      <c r="K25" s="271"/>
      <c r="L25" s="262"/>
    </row>
    <row r="26" spans="2:12" ht="15" x14ac:dyDescent="0.2">
      <c r="B26" s="178">
        <v>5</v>
      </c>
      <c r="C26" s="182" t="s">
        <v>171</v>
      </c>
      <c r="D26" s="258"/>
      <c r="E26" s="261"/>
      <c r="F26" s="261"/>
      <c r="G26" s="261"/>
      <c r="H26" s="261"/>
      <c r="I26" s="270"/>
      <c r="J26" s="261"/>
      <c r="K26" s="271"/>
      <c r="L26" s="262"/>
    </row>
    <row r="27" spans="2:12" x14ac:dyDescent="0.2">
      <c r="B27" s="258">
        <f>B26+0.1</f>
        <v>5.0999999999999996</v>
      </c>
      <c r="C27" s="266" t="s">
        <v>46</v>
      </c>
      <c r="D27" s="258" t="s">
        <v>42</v>
      </c>
      <c r="E27" s="270">
        <v>5.25</v>
      </c>
      <c r="F27" s="270">
        <v>5.25</v>
      </c>
      <c r="G27" s="270">
        <v>5.25</v>
      </c>
      <c r="H27" s="270">
        <v>5.25</v>
      </c>
      <c r="I27" s="270">
        <v>5.25</v>
      </c>
      <c r="J27" s="270">
        <v>5.25</v>
      </c>
      <c r="K27" s="270">
        <v>5.25</v>
      </c>
      <c r="L27" s="271"/>
    </row>
    <row r="28" spans="2:12" ht="16.5" customHeight="1" x14ac:dyDescent="0.2">
      <c r="B28" s="258">
        <f>B27+0.1</f>
        <v>5.1999999999999993</v>
      </c>
      <c r="C28" s="266" t="s">
        <v>160</v>
      </c>
      <c r="D28" s="258" t="s">
        <v>42</v>
      </c>
      <c r="E28" s="261"/>
      <c r="F28" s="273">
        <f>F29/F24*100</f>
        <v>4.5135287644045166</v>
      </c>
      <c r="G28" s="273">
        <f>F28</f>
        <v>4.5135287644045166</v>
      </c>
      <c r="H28" s="261"/>
      <c r="I28" s="281">
        <f>I29/I24*100</f>
        <v>5.2286186057604818</v>
      </c>
      <c r="J28" s="261"/>
      <c r="K28" s="271">
        <v>5.25</v>
      </c>
      <c r="L28" s="262"/>
    </row>
    <row r="29" spans="2:12" ht="16.5" customHeight="1" x14ac:dyDescent="0.2">
      <c r="B29" s="258">
        <f>B28+0.1</f>
        <v>5.2999999999999989</v>
      </c>
      <c r="C29" s="266" t="s">
        <v>160</v>
      </c>
      <c r="D29" s="258" t="s">
        <v>45</v>
      </c>
      <c r="E29" s="261"/>
      <c r="F29" s="265">
        <f>F24-F23</f>
        <v>250.00379858279939</v>
      </c>
      <c r="G29" s="265">
        <f>F29</f>
        <v>250.00379858279939</v>
      </c>
      <c r="H29" s="261"/>
      <c r="I29" s="281">
        <f>I24-I23</f>
        <v>271.20265899999958</v>
      </c>
      <c r="J29" s="261"/>
      <c r="K29" s="271">
        <f>K24-K23</f>
        <v>312.73000000000047</v>
      </c>
      <c r="L29" s="262"/>
    </row>
    <row r="30" spans="2:12" x14ac:dyDescent="0.2">
      <c r="B30" s="258">
        <f>B29+0.1</f>
        <v>5.3999999999999986</v>
      </c>
      <c r="C30" s="266" t="s">
        <v>47</v>
      </c>
      <c r="D30" s="258" t="s">
        <v>45</v>
      </c>
      <c r="E30" s="261"/>
      <c r="F30" s="265">
        <f>F23</f>
        <v>5288.9838014172001</v>
      </c>
      <c r="G30" s="265">
        <f>G23</f>
        <v>5288.9838014172001</v>
      </c>
      <c r="H30" s="261"/>
      <c r="I30" s="281">
        <f>I23</f>
        <v>4915.6866410000002</v>
      </c>
      <c r="J30" s="261"/>
      <c r="K30" s="271">
        <f>K23</f>
        <v>5644.07</v>
      </c>
      <c r="L30" s="262"/>
    </row>
    <row r="31" spans="2:12" x14ac:dyDescent="0.2">
      <c r="B31" s="258"/>
      <c r="C31" s="266"/>
      <c r="D31" s="258"/>
      <c r="E31" s="261"/>
      <c r="F31" s="261"/>
      <c r="G31" s="261"/>
      <c r="H31" s="261"/>
      <c r="I31" s="270"/>
      <c r="J31" s="261"/>
      <c r="K31" s="271"/>
      <c r="L31" s="262"/>
    </row>
    <row r="32" spans="2:12" ht="15" x14ac:dyDescent="0.2">
      <c r="B32" s="178">
        <v>6</v>
      </c>
      <c r="C32" s="182" t="s">
        <v>207</v>
      </c>
      <c r="D32" s="258"/>
      <c r="E32" s="261"/>
      <c r="F32" s="261"/>
      <c r="G32" s="261"/>
      <c r="H32" s="261"/>
      <c r="I32" s="270"/>
      <c r="J32" s="261"/>
      <c r="K32" s="271"/>
      <c r="L32" s="262"/>
    </row>
    <row r="33" spans="2:12" x14ac:dyDescent="0.2">
      <c r="B33" s="258">
        <f>B32+0.1</f>
        <v>6.1</v>
      </c>
      <c r="C33" s="266" t="s">
        <v>48</v>
      </c>
      <c r="D33" s="258" t="s">
        <v>49</v>
      </c>
      <c r="E33" s="261">
        <v>2151</v>
      </c>
      <c r="F33" s="261">
        <v>2151</v>
      </c>
      <c r="G33" s="261">
        <v>2151</v>
      </c>
      <c r="H33" s="261">
        <v>2151</v>
      </c>
      <c r="I33" s="270">
        <v>2151</v>
      </c>
      <c r="J33" s="261">
        <v>2151</v>
      </c>
      <c r="K33" s="270">
        <v>2151</v>
      </c>
      <c r="L33" s="262"/>
    </row>
    <row r="34" spans="2:12" x14ac:dyDescent="0.2">
      <c r="B34" s="258">
        <f>B33+0.1</f>
        <v>6.1999999999999993</v>
      </c>
      <c r="C34" s="259" t="s">
        <v>161</v>
      </c>
      <c r="D34" s="258" t="s">
        <v>49</v>
      </c>
      <c r="E34" s="261"/>
      <c r="F34" s="274">
        <v>2077.1308466748869</v>
      </c>
      <c r="G34" s="274">
        <f>F34</f>
        <v>2077.1308466748869</v>
      </c>
      <c r="H34" s="261"/>
      <c r="I34" s="270">
        <v>2151</v>
      </c>
      <c r="J34" s="261"/>
      <c r="K34" s="271">
        <v>2151</v>
      </c>
      <c r="L34" s="262"/>
    </row>
    <row r="35" spans="2:12" x14ac:dyDescent="0.2">
      <c r="B35" s="258"/>
      <c r="C35" s="259"/>
      <c r="D35" s="258"/>
      <c r="E35" s="261"/>
      <c r="F35" s="261"/>
      <c r="G35" s="261"/>
      <c r="H35" s="261"/>
      <c r="I35" s="270"/>
      <c r="J35" s="261"/>
      <c r="K35" s="271"/>
      <c r="L35" s="262"/>
    </row>
    <row r="36" spans="2:12" ht="15" x14ac:dyDescent="0.2">
      <c r="B36" s="178">
        <v>7</v>
      </c>
      <c r="C36" s="179" t="s">
        <v>175</v>
      </c>
      <c r="D36" s="258"/>
      <c r="E36" s="261"/>
      <c r="F36" s="261"/>
      <c r="G36" s="261"/>
      <c r="H36" s="261"/>
      <c r="I36" s="270"/>
      <c r="J36" s="261"/>
      <c r="K36" s="271"/>
      <c r="L36" s="262"/>
    </row>
    <row r="37" spans="2:12" x14ac:dyDescent="0.2">
      <c r="B37" s="258">
        <f>B36+0.1</f>
        <v>7.1</v>
      </c>
      <c r="C37" s="259" t="s">
        <v>50</v>
      </c>
      <c r="D37" s="258" t="s">
        <v>51</v>
      </c>
      <c r="E37" s="261">
        <v>0.5</v>
      </c>
      <c r="F37" s="261">
        <v>0.5</v>
      </c>
      <c r="G37" s="261">
        <v>0.5</v>
      </c>
      <c r="H37" s="261">
        <v>0.5</v>
      </c>
      <c r="I37" s="270">
        <v>0.5</v>
      </c>
      <c r="J37" s="261">
        <v>0.5</v>
      </c>
      <c r="K37" s="270">
        <v>0.5</v>
      </c>
      <c r="L37" s="262"/>
    </row>
    <row r="38" spans="2:12" x14ac:dyDescent="0.2">
      <c r="B38" s="258">
        <f>B37+0.1</f>
        <v>7.1999999999999993</v>
      </c>
      <c r="C38" s="259" t="s">
        <v>162</v>
      </c>
      <c r="D38" s="258" t="s">
        <v>51</v>
      </c>
      <c r="E38" s="261"/>
      <c r="F38" s="265">
        <v>0.22602848939398237</v>
      </c>
      <c r="G38" s="265">
        <f>F38</f>
        <v>0.22602848939398237</v>
      </c>
      <c r="H38" s="261"/>
      <c r="I38" s="270">
        <v>0.5</v>
      </c>
      <c r="J38" s="261"/>
      <c r="K38" s="271">
        <v>0.5</v>
      </c>
      <c r="L38" s="262"/>
    </row>
    <row r="39" spans="2:12" x14ac:dyDescent="0.2">
      <c r="B39" s="258"/>
      <c r="C39" s="259"/>
      <c r="D39" s="258"/>
      <c r="E39" s="261"/>
      <c r="F39" s="261"/>
      <c r="G39" s="261"/>
      <c r="H39" s="261"/>
      <c r="I39" s="270"/>
      <c r="J39" s="261"/>
      <c r="K39" s="271"/>
      <c r="L39" s="262"/>
    </row>
    <row r="40" spans="2:12" ht="15" x14ac:dyDescent="0.2">
      <c r="B40" s="178">
        <v>8</v>
      </c>
      <c r="C40" s="179" t="s">
        <v>53</v>
      </c>
      <c r="D40" s="258"/>
      <c r="E40" s="261"/>
      <c r="F40" s="261"/>
      <c r="G40" s="261"/>
      <c r="H40" s="261"/>
      <c r="I40" s="270"/>
      <c r="J40" s="261"/>
      <c r="K40" s="271"/>
      <c r="L40" s="262"/>
    </row>
    <row r="41" spans="2:12" x14ac:dyDescent="0.2">
      <c r="B41" s="258">
        <f>B40+0.1</f>
        <v>8.1</v>
      </c>
      <c r="C41" s="259" t="s">
        <v>52</v>
      </c>
      <c r="D41" s="258" t="s">
        <v>42</v>
      </c>
      <c r="E41" s="270">
        <v>0.8</v>
      </c>
      <c r="F41" s="270">
        <v>0.8</v>
      </c>
      <c r="G41" s="270">
        <v>0.8</v>
      </c>
      <c r="H41" s="270">
        <v>0.8</v>
      </c>
      <c r="I41" s="270">
        <v>0.8</v>
      </c>
      <c r="J41" s="270">
        <v>0.8</v>
      </c>
      <c r="K41" s="270">
        <v>0.8</v>
      </c>
      <c r="L41" s="271"/>
    </row>
    <row r="42" spans="2:12" x14ac:dyDescent="0.2">
      <c r="B42" s="258">
        <f>B41+0.1</f>
        <v>8.1999999999999993</v>
      </c>
      <c r="C42" s="259" t="s">
        <v>163</v>
      </c>
      <c r="D42" s="258" t="s">
        <v>42</v>
      </c>
      <c r="E42" s="270"/>
      <c r="F42" s="270">
        <v>0.59599999999999997</v>
      </c>
      <c r="G42" s="270">
        <v>0.59599999999999997</v>
      </c>
      <c r="H42" s="270"/>
      <c r="I42" s="270">
        <v>0.8</v>
      </c>
      <c r="J42" s="270"/>
      <c r="K42" s="271">
        <v>0.8</v>
      </c>
      <c r="L42" s="271"/>
    </row>
    <row r="43" spans="2:12" ht="15" x14ac:dyDescent="0.2">
      <c r="B43" s="178"/>
      <c r="C43" s="179"/>
      <c r="D43" s="257"/>
      <c r="E43" s="272"/>
      <c r="F43" s="270"/>
      <c r="G43" s="270"/>
      <c r="H43" s="270"/>
      <c r="I43" s="270"/>
      <c r="J43" s="270"/>
      <c r="K43" s="271"/>
      <c r="L43" s="271"/>
    </row>
    <row r="44" spans="2:12" ht="15" x14ac:dyDescent="0.2">
      <c r="B44" s="38"/>
      <c r="C44" s="85"/>
      <c r="D44" s="267"/>
      <c r="E44" s="267"/>
      <c r="F44" s="38"/>
      <c r="G44" s="38"/>
      <c r="H44" s="38"/>
      <c r="I44" s="288"/>
      <c r="J44" s="38"/>
    </row>
    <row r="45" spans="2:12" ht="16.5" x14ac:dyDescent="0.2">
      <c r="D45" s="268"/>
      <c r="E45" s="268"/>
      <c r="F45" s="86"/>
      <c r="G45" s="86"/>
      <c r="H45" s="86"/>
      <c r="I45" s="289"/>
      <c r="J45" s="86"/>
    </row>
    <row r="46" spans="2:12" ht="16.5" x14ac:dyDescent="0.2">
      <c r="B46" s="13"/>
      <c r="F46" s="86"/>
      <c r="G46" s="86"/>
      <c r="H46" s="86"/>
      <c r="I46" s="289"/>
      <c r="J46" s="86"/>
    </row>
    <row r="47" spans="2:12" ht="16.5" x14ac:dyDescent="0.2">
      <c r="C47" s="45"/>
      <c r="F47" s="86"/>
      <c r="G47" s="86"/>
      <c r="H47" s="86"/>
      <c r="I47" s="289"/>
      <c r="J47" s="86"/>
    </row>
    <row r="48" spans="2:12" x14ac:dyDescent="0.2">
      <c r="F48" s="269"/>
      <c r="G48" s="269"/>
      <c r="H48" s="269"/>
      <c r="I48" s="290"/>
      <c r="J48" s="269"/>
    </row>
  </sheetData>
  <mergeCells count="7">
    <mergeCell ref="L6:L8"/>
    <mergeCell ref="B6:B8"/>
    <mergeCell ref="C6:C8"/>
    <mergeCell ref="D6:D8"/>
    <mergeCell ref="E6:G6"/>
    <mergeCell ref="H6:I6"/>
    <mergeCell ref="J6:K6"/>
  </mergeCells>
  <pageMargins left="0.41" right="0.5" top="0.43" bottom="0.63" header="0.5" footer="0.5"/>
  <pageSetup paperSize="9" scale="76" orientation="landscape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V53"/>
  <sheetViews>
    <sheetView showGridLines="0" showWhiteSpace="0" view="pageBreakPreview" topLeftCell="A32" zoomScale="89" zoomScaleNormal="91" zoomScaleSheetLayoutView="89" zoomScalePageLayoutView="48" workbookViewId="0">
      <selection sqref="A1:XFD1048576"/>
    </sheetView>
  </sheetViews>
  <sheetFormatPr defaultColWidth="9.28515625" defaultRowHeight="14.25" x14ac:dyDescent="0.2"/>
  <cols>
    <col min="1" max="1" width="2.28515625" style="87" customWidth="1"/>
    <col min="2" max="2" width="9.28515625" style="87"/>
    <col min="3" max="3" width="57.5703125" style="87" customWidth="1"/>
    <col min="4" max="4" width="8.42578125" style="240" customWidth="1"/>
    <col min="5" max="5" width="12" style="87" bestFit="1" customWidth="1"/>
    <col min="6" max="6" width="10.7109375" style="87" bestFit="1" customWidth="1"/>
    <col min="7" max="9" width="10.85546875" style="87" bestFit="1" customWidth="1"/>
    <col min="10" max="12" width="10.7109375" style="87" bestFit="1" customWidth="1"/>
    <col min="13" max="14" width="10.85546875" style="87" bestFit="1" customWidth="1"/>
    <col min="15" max="15" width="10.7109375" style="87" bestFit="1" customWidth="1"/>
    <col min="16" max="16" width="10.85546875" style="87" bestFit="1" customWidth="1"/>
    <col min="17" max="17" width="10.7109375" style="87" bestFit="1" customWidth="1"/>
    <col min="18" max="19" width="10.85546875" style="87" bestFit="1" customWidth="1"/>
    <col min="20" max="21" width="10.7109375" style="87" bestFit="1" customWidth="1"/>
    <col min="22" max="22" width="11.42578125" style="87" customWidth="1"/>
    <col min="23" max="16384" width="9.28515625" style="87"/>
  </cols>
  <sheetData>
    <row r="2" spans="2:22" ht="14.25" customHeight="1" x14ac:dyDescent="0.2">
      <c r="B2" s="328" t="s">
        <v>401</v>
      </c>
      <c r="C2" s="328"/>
      <c r="D2" s="328"/>
      <c r="E2" s="328"/>
      <c r="F2" s="328"/>
      <c r="G2" s="328"/>
      <c r="H2" s="328"/>
      <c r="I2" s="328"/>
      <c r="J2" s="328"/>
      <c r="K2" s="328"/>
      <c r="L2" s="328"/>
      <c r="M2" s="328"/>
      <c r="N2" s="328"/>
      <c r="O2" s="328"/>
      <c r="P2" s="328"/>
      <c r="Q2" s="328"/>
      <c r="R2" s="328"/>
      <c r="S2" s="328"/>
      <c r="T2" s="328"/>
      <c r="U2" s="328"/>
      <c r="V2" s="328"/>
    </row>
    <row r="3" spans="2:22" ht="14.25" customHeight="1" x14ac:dyDescent="0.2">
      <c r="B3" s="328" t="s">
        <v>467</v>
      </c>
      <c r="C3" s="328"/>
      <c r="D3" s="328"/>
      <c r="E3" s="328"/>
      <c r="F3" s="328"/>
      <c r="G3" s="328"/>
      <c r="H3" s="328"/>
      <c r="I3" s="328"/>
      <c r="J3" s="328"/>
      <c r="K3" s="328"/>
      <c r="L3" s="328"/>
      <c r="M3" s="328"/>
      <c r="N3" s="328"/>
      <c r="O3" s="328"/>
      <c r="P3" s="328"/>
      <c r="Q3" s="328"/>
      <c r="R3" s="328"/>
      <c r="S3" s="328"/>
      <c r="T3" s="328"/>
      <c r="U3" s="328"/>
      <c r="V3" s="328"/>
    </row>
    <row r="4" spans="2:22" ht="14.25" customHeight="1" x14ac:dyDescent="0.2">
      <c r="B4" s="328" t="s">
        <v>345</v>
      </c>
      <c r="C4" s="328"/>
      <c r="D4" s="328"/>
      <c r="E4" s="328"/>
      <c r="F4" s="328"/>
      <c r="G4" s="328"/>
      <c r="H4" s="328"/>
      <c r="I4" s="328"/>
      <c r="J4" s="328"/>
      <c r="K4" s="328"/>
      <c r="L4" s="328"/>
      <c r="M4" s="328"/>
      <c r="N4" s="328"/>
      <c r="O4" s="328"/>
      <c r="P4" s="328"/>
      <c r="Q4" s="328"/>
      <c r="R4" s="328"/>
      <c r="S4" s="328"/>
      <c r="T4" s="328"/>
      <c r="U4" s="328"/>
      <c r="V4" s="328"/>
    </row>
    <row r="6" spans="2:22" ht="15" x14ac:dyDescent="0.2">
      <c r="B6" s="361" t="s">
        <v>193</v>
      </c>
      <c r="C6" s="361" t="s">
        <v>18</v>
      </c>
      <c r="D6" s="361" t="s">
        <v>39</v>
      </c>
      <c r="E6" s="361" t="s">
        <v>403</v>
      </c>
      <c r="F6" s="361"/>
      <c r="G6" s="361"/>
      <c r="H6" s="361"/>
      <c r="I6" s="361"/>
      <c r="J6" s="361"/>
      <c r="K6" s="361"/>
      <c r="L6" s="361"/>
      <c r="M6" s="361"/>
      <c r="N6" s="361"/>
      <c r="O6" s="361"/>
      <c r="P6" s="361"/>
      <c r="Q6" s="361" t="s">
        <v>404</v>
      </c>
      <c r="R6" s="361"/>
      <c r="S6" s="361"/>
      <c r="T6" s="361"/>
      <c r="U6" s="361"/>
      <c r="V6" s="361"/>
    </row>
    <row r="7" spans="2:22" ht="15" x14ac:dyDescent="0.2">
      <c r="B7" s="361"/>
      <c r="C7" s="361"/>
      <c r="D7" s="361"/>
      <c r="E7" s="220" t="s">
        <v>141</v>
      </c>
      <c r="F7" s="220" t="s">
        <v>142</v>
      </c>
      <c r="G7" s="220" t="s">
        <v>143</v>
      </c>
      <c r="H7" s="220" t="s">
        <v>144</v>
      </c>
      <c r="I7" s="220" t="s">
        <v>145</v>
      </c>
      <c r="J7" s="220" t="s">
        <v>146</v>
      </c>
      <c r="K7" s="220" t="s">
        <v>147</v>
      </c>
      <c r="L7" s="220" t="s">
        <v>148</v>
      </c>
      <c r="M7" s="220" t="s">
        <v>149</v>
      </c>
      <c r="N7" s="220" t="s">
        <v>150</v>
      </c>
      <c r="O7" s="220" t="s">
        <v>151</v>
      </c>
      <c r="P7" s="220" t="s">
        <v>152</v>
      </c>
      <c r="Q7" s="220" t="s">
        <v>141</v>
      </c>
      <c r="R7" s="220" t="s">
        <v>142</v>
      </c>
      <c r="S7" s="220" t="s">
        <v>143</v>
      </c>
      <c r="T7" s="220" t="s">
        <v>144</v>
      </c>
      <c r="U7" s="220" t="s">
        <v>145</v>
      </c>
      <c r="V7" s="220" t="s">
        <v>146</v>
      </c>
    </row>
    <row r="8" spans="2:22" ht="15" x14ac:dyDescent="0.2">
      <c r="B8" s="220" t="s">
        <v>67</v>
      </c>
      <c r="C8" s="222" t="s">
        <v>302</v>
      </c>
      <c r="E8" s="224"/>
      <c r="F8" s="224"/>
      <c r="G8" s="224"/>
      <c r="H8" s="224"/>
      <c r="I8" s="224"/>
      <c r="J8" s="224"/>
      <c r="K8" s="224"/>
      <c r="L8" s="224"/>
      <c r="M8" s="224"/>
      <c r="N8" s="224"/>
      <c r="O8" s="224"/>
      <c r="P8" s="224"/>
      <c r="Q8" s="224"/>
      <c r="R8" s="224"/>
      <c r="S8" s="224"/>
      <c r="T8" s="224"/>
      <c r="U8" s="224"/>
      <c r="V8" s="224"/>
    </row>
    <row r="9" spans="2:22" x14ac:dyDescent="0.2">
      <c r="B9" s="225">
        <v>1</v>
      </c>
      <c r="C9" s="224" t="s">
        <v>303</v>
      </c>
      <c r="D9" s="225" t="s">
        <v>305</v>
      </c>
      <c r="E9" s="230">
        <v>89334.995999999504</v>
      </c>
      <c r="F9" s="230">
        <v>61173.995999999461</v>
      </c>
      <c r="G9" s="230">
        <v>77746.495999999432</v>
      </c>
      <c r="H9" s="230">
        <v>81292.995999999417</v>
      </c>
      <c r="I9" s="230">
        <v>58797.715999999404</v>
      </c>
      <c r="J9" s="230">
        <v>85021.775999999372</v>
      </c>
      <c r="K9" s="230">
        <v>81749.99599999933</v>
      </c>
      <c r="L9" s="230">
        <v>103271.13599999933</v>
      </c>
      <c r="M9" s="230">
        <v>137228.52599999931</v>
      </c>
      <c r="N9" s="230">
        <v>129159.99599999929</v>
      </c>
      <c r="O9" s="230">
        <v>117699.67599999925</v>
      </c>
      <c r="P9" s="230">
        <v>194533.67599999931</v>
      </c>
      <c r="Q9" s="230">
        <v>280999.99599999929</v>
      </c>
      <c r="R9" s="230">
        <v>192903.45599999928</v>
      </c>
      <c r="S9" s="230">
        <v>155662.83599999931</v>
      </c>
      <c r="T9" s="230">
        <v>204239.99599999929</v>
      </c>
      <c r="U9" s="230">
        <v>243954.25599999927</v>
      </c>
      <c r="V9" s="230">
        <v>137718.79599999927</v>
      </c>
    </row>
    <row r="10" spans="2:22" x14ac:dyDescent="0.2">
      <c r="B10" s="225">
        <f>B9+1</f>
        <v>2</v>
      </c>
      <c r="C10" s="224" t="s">
        <v>304</v>
      </c>
      <c r="D10" s="241" t="s">
        <v>431</v>
      </c>
      <c r="E10" s="230">
        <v>54.8044520798882</v>
      </c>
      <c r="F10" s="230">
        <v>40.477725053408761</v>
      </c>
      <c r="G10" s="230">
        <v>49.42125829578297</v>
      </c>
      <c r="H10" s="230">
        <v>51.799168221116304</v>
      </c>
      <c r="I10" s="230">
        <v>38.915290818371233</v>
      </c>
      <c r="J10" s="230">
        <v>53.990527485490979</v>
      </c>
      <c r="K10" s="230">
        <v>44.010018049372974</v>
      </c>
      <c r="L10" s="230">
        <v>55.369957608486878</v>
      </c>
      <c r="M10" s="230">
        <v>84.068104349985404</v>
      </c>
      <c r="N10" s="230">
        <v>72.360293355146737</v>
      </c>
      <c r="O10" s="230">
        <v>67.80751855140592</v>
      </c>
      <c r="P10" s="230">
        <v>122.23750548782738</v>
      </c>
      <c r="Q10" s="230">
        <v>175.43295655731671</v>
      </c>
      <c r="R10" s="230">
        <v>110.86285094326024</v>
      </c>
      <c r="S10" s="230">
        <v>88.260347278414002</v>
      </c>
      <c r="T10" s="230">
        <v>123.05498941044392</v>
      </c>
      <c r="U10" s="230">
        <v>144.9161452162742</v>
      </c>
      <c r="V10" s="230">
        <v>80.506134222139224</v>
      </c>
    </row>
    <row r="11" spans="2:22" ht="15" x14ac:dyDescent="0.2">
      <c r="B11" s="220" t="s">
        <v>71</v>
      </c>
      <c r="C11" s="222" t="s">
        <v>306</v>
      </c>
      <c r="D11" s="225"/>
      <c r="E11" s="230"/>
      <c r="F11" s="230"/>
      <c r="G11" s="230"/>
      <c r="H11" s="230"/>
      <c r="I11" s="230"/>
      <c r="J11" s="230"/>
      <c r="K11" s="230"/>
      <c r="L11" s="230"/>
      <c r="M11" s="230"/>
      <c r="N11" s="230"/>
      <c r="O11" s="230"/>
      <c r="P11" s="230"/>
      <c r="Q11" s="230"/>
      <c r="R11" s="230"/>
      <c r="S11" s="230"/>
      <c r="T11" s="230"/>
      <c r="U11" s="230"/>
      <c r="V11" s="230"/>
    </row>
    <row r="12" spans="2:22" x14ac:dyDescent="0.2">
      <c r="B12" s="225">
        <f>B10+1</f>
        <v>3</v>
      </c>
      <c r="C12" s="224" t="s">
        <v>307</v>
      </c>
      <c r="D12" s="225" t="s">
        <v>305</v>
      </c>
      <c r="E12" s="230">
        <v>219708</v>
      </c>
      <c r="F12" s="230">
        <v>276642.10000000003</v>
      </c>
      <c r="G12" s="230">
        <v>254430.4</v>
      </c>
      <c r="H12" s="230">
        <v>205013.12</v>
      </c>
      <c r="I12" s="230">
        <v>308402.96000000002</v>
      </c>
      <c r="J12" s="230">
        <v>243626.76</v>
      </c>
      <c r="K12" s="230">
        <v>266517.54000000004</v>
      </c>
      <c r="L12" s="230">
        <v>262604.19000000006</v>
      </c>
      <c r="M12" s="230">
        <v>257748.27000000002</v>
      </c>
      <c r="N12" s="230">
        <v>243606.28000000003</v>
      </c>
      <c r="O12" s="230">
        <v>303211.90000000002</v>
      </c>
      <c r="P12" s="230">
        <v>360850.5</v>
      </c>
      <c r="Q12" s="230">
        <v>162876.06</v>
      </c>
      <c r="R12" s="230">
        <v>209700.88</v>
      </c>
      <c r="S12" s="230">
        <v>228673.31999999998</v>
      </c>
      <c r="T12" s="230">
        <v>123362.48000000001</v>
      </c>
      <c r="U12" s="230">
        <v>108276.54000000001</v>
      </c>
      <c r="V12" s="230">
        <v>184601.71999999997</v>
      </c>
    </row>
    <row r="13" spans="2:22" x14ac:dyDescent="0.2">
      <c r="B13" s="225">
        <f>B12+1</f>
        <v>4</v>
      </c>
      <c r="C13" s="224" t="s">
        <v>396</v>
      </c>
      <c r="D13" s="225" t="s">
        <v>305</v>
      </c>
      <c r="E13" s="230"/>
      <c r="F13" s="230"/>
      <c r="G13" s="230"/>
      <c r="H13" s="230"/>
      <c r="I13" s="230"/>
      <c r="J13" s="230"/>
      <c r="K13" s="230"/>
      <c r="L13" s="230"/>
      <c r="M13" s="230"/>
      <c r="N13" s="230"/>
      <c r="O13" s="230"/>
      <c r="P13" s="230"/>
      <c r="Q13" s="230"/>
      <c r="R13" s="230"/>
      <c r="S13" s="230"/>
      <c r="T13" s="230"/>
      <c r="U13" s="230"/>
      <c r="V13" s="230"/>
    </row>
    <row r="14" spans="2:22" ht="15" x14ac:dyDescent="0.2">
      <c r="B14" s="225">
        <f>B13+1</f>
        <v>5</v>
      </c>
      <c r="C14" s="224" t="s">
        <v>308</v>
      </c>
      <c r="D14" s="225" t="s">
        <v>305</v>
      </c>
      <c r="E14" s="242">
        <f>E12+E13</f>
        <v>219708</v>
      </c>
      <c r="F14" s="242">
        <f t="shared" ref="F14:V14" si="0">F12+F13</f>
        <v>276642.10000000003</v>
      </c>
      <c r="G14" s="242">
        <f t="shared" si="0"/>
        <v>254430.4</v>
      </c>
      <c r="H14" s="242">
        <f t="shared" si="0"/>
        <v>205013.12</v>
      </c>
      <c r="I14" s="242">
        <f t="shared" si="0"/>
        <v>308402.96000000002</v>
      </c>
      <c r="J14" s="242">
        <f t="shared" si="0"/>
        <v>243626.76</v>
      </c>
      <c r="K14" s="242">
        <f t="shared" si="0"/>
        <v>266517.54000000004</v>
      </c>
      <c r="L14" s="242">
        <f t="shared" si="0"/>
        <v>262604.19000000006</v>
      </c>
      <c r="M14" s="242">
        <f t="shared" si="0"/>
        <v>257748.27000000002</v>
      </c>
      <c r="N14" s="242">
        <f t="shared" si="0"/>
        <v>243606.28000000003</v>
      </c>
      <c r="O14" s="242">
        <f t="shared" si="0"/>
        <v>303211.90000000002</v>
      </c>
      <c r="P14" s="242">
        <f t="shared" si="0"/>
        <v>360850.5</v>
      </c>
      <c r="Q14" s="242">
        <f t="shared" si="0"/>
        <v>162876.06</v>
      </c>
      <c r="R14" s="242">
        <f t="shared" si="0"/>
        <v>209700.88</v>
      </c>
      <c r="S14" s="242">
        <f t="shared" si="0"/>
        <v>228673.31999999998</v>
      </c>
      <c r="T14" s="242">
        <f t="shared" si="0"/>
        <v>123362.48000000001</v>
      </c>
      <c r="U14" s="242">
        <f t="shared" si="0"/>
        <v>108276.54000000001</v>
      </c>
      <c r="V14" s="242">
        <f t="shared" si="0"/>
        <v>184601.71999999997</v>
      </c>
    </row>
    <row r="15" spans="2:22" x14ac:dyDescent="0.2">
      <c r="B15" s="225">
        <f>B14+1</f>
        <v>6</v>
      </c>
      <c r="C15" s="224" t="s">
        <v>309</v>
      </c>
      <c r="D15" s="225" t="s">
        <v>305</v>
      </c>
      <c r="E15" s="230">
        <v>1757.6639999999898</v>
      </c>
      <c r="F15" s="230">
        <v>2213.1367999999784</v>
      </c>
      <c r="G15" s="230">
        <v>2035.4432000000088</v>
      </c>
      <c r="H15" s="230">
        <v>1640.1049599999969</v>
      </c>
      <c r="I15" s="230">
        <v>2467.2236799999955</v>
      </c>
      <c r="J15" s="230">
        <v>1949.0140799999936</v>
      </c>
      <c r="K15" s="230">
        <v>2132.1403200000059</v>
      </c>
      <c r="L15" s="230">
        <v>2100.8335200000147</v>
      </c>
      <c r="M15" s="230">
        <v>2061.9861600000004</v>
      </c>
      <c r="N15" s="230">
        <v>1948.8502399999998</v>
      </c>
      <c r="O15" s="230">
        <v>2425.6952000000165</v>
      </c>
      <c r="P15" s="230">
        <v>2886.8040000000037</v>
      </c>
      <c r="Q15" s="230">
        <v>1303.0084799999895</v>
      </c>
      <c r="R15" s="230">
        <v>1677.6070400000026</v>
      </c>
      <c r="S15" s="230">
        <v>1829.3865600000136</v>
      </c>
      <c r="T15" s="230">
        <v>986.89983999999822</v>
      </c>
      <c r="U15" s="230">
        <v>866.212320000006</v>
      </c>
      <c r="V15" s="230">
        <v>1476.81375999999</v>
      </c>
    </row>
    <row r="16" spans="2:22" ht="15" x14ac:dyDescent="0.2">
      <c r="B16" s="225">
        <f>B15+1</f>
        <v>7</v>
      </c>
      <c r="C16" s="224" t="s">
        <v>310</v>
      </c>
      <c r="D16" s="225" t="s">
        <v>305</v>
      </c>
      <c r="E16" s="242">
        <f>E14-E15</f>
        <v>217950.33600000001</v>
      </c>
      <c r="F16" s="242">
        <f t="shared" ref="F16:V16" si="1">F14-F15</f>
        <v>274428.96320000006</v>
      </c>
      <c r="G16" s="242">
        <f t="shared" si="1"/>
        <v>252394.95679999999</v>
      </c>
      <c r="H16" s="242">
        <f t="shared" si="1"/>
        <v>203373.01504</v>
      </c>
      <c r="I16" s="242">
        <f t="shared" si="1"/>
        <v>305935.73632000003</v>
      </c>
      <c r="J16" s="242">
        <f t="shared" si="1"/>
        <v>241677.74592000002</v>
      </c>
      <c r="K16" s="242">
        <f t="shared" si="1"/>
        <v>264385.39968000003</v>
      </c>
      <c r="L16" s="242">
        <f t="shared" si="1"/>
        <v>260503.35648000005</v>
      </c>
      <c r="M16" s="242">
        <f t="shared" si="1"/>
        <v>255686.28384000002</v>
      </c>
      <c r="N16" s="242">
        <f t="shared" si="1"/>
        <v>241657.42976000003</v>
      </c>
      <c r="O16" s="242">
        <f t="shared" si="1"/>
        <v>300786.20480000001</v>
      </c>
      <c r="P16" s="242">
        <f t="shared" si="1"/>
        <v>357963.696</v>
      </c>
      <c r="Q16" s="242">
        <f t="shared" si="1"/>
        <v>161573.05152000001</v>
      </c>
      <c r="R16" s="242">
        <f t="shared" si="1"/>
        <v>208023.27296</v>
      </c>
      <c r="S16" s="242">
        <f t="shared" si="1"/>
        <v>226843.93343999996</v>
      </c>
      <c r="T16" s="242">
        <f t="shared" si="1"/>
        <v>122375.58016000001</v>
      </c>
      <c r="U16" s="242">
        <f t="shared" si="1"/>
        <v>107410.32768</v>
      </c>
      <c r="V16" s="242">
        <f t="shared" si="1"/>
        <v>183124.90623999998</v>
      </c>
    </row>
    <row r="17" spans="2:22" ht="15" x14ac:dyDescent="0.2">
      <c r="B17" s="220" t="s">
        <v>72</v>
      </c>
      <c r="C17" s="222" t="s">
        <v>311</v>
      </c>
      <c r="D17" s="225"/>
      <c r="E17" s="243"/>
      <c r="F17" s="243"/>
      <c r="G17" s="243"/>
      <c r="H17" s="243"/>
      <c r="I17" s="243"/>
      <c r="J17" s="243"/>
      <c r="K17" s="243"/>
      <c r="L17" s="243"/>
      <c r="M17" s="243"/>
      <c r="N17" s="243"/>
      <c r="O17" s="243"/>
      <c r="P17" s="243"/>
      <c r="Q17" s="243"/>
      <c r="R17" s="243"/>
      <c r="S17" s="243"/>
      <c r="T17" s="243"/>
      <c r="U17" s="243"/>
      <c r="V17" s="243"/>
    </row>
    <row r="18" spans="2:22" x14ac:dyDescent="0.2">
      <c r="B18" s="225">
        <f>B16+1</f>
        <v>8</v>
      </c>
      <c r="C18" s="224" t="s">
        <v>312</v>
      </c>
      <c r="D18" s="241" t="s">
        <v>431</v>
      </c>
      <c r="E18" s="230">
        <v>142.262620989</v>
      </c>
      <c r="F18" s="230">
        <v>170.54089808400002</v>
      </c>
      <c r="G18" s="230">
        <v>156.02698118346973</v>
      </c>
      <c r="H18" s="230">
        <v>140.32694736599998</v>
      </c>
      <c r="I18" s="230">
        <v>194.86949896800004</v>
      </c>
      <c r="J18" s="230">
        <v>129.65245133100001</v>
      </c>
      <c r="K18" s="230">
        <v>141.32702130300001</v>
      </c>
      <c r="L18" s="230">
        <v>161.21366762599999</v>
      </c>
      <c r="M18" s="230">
        <v>133.7140146771126</v>
      </c>
      <c r="N18" s="230">
        <v>141.70831195000002</v>
      </c>
      <c r="O18" s="230">
        <v>180.45724011000001</v>
      </c>
      <c r="P18" s="230">
        <v>210.20816588300005</v>
      </c>
      <c r="Q18" s="230">
        <v>81.376183562000008</v>
      </c>
      <c r="R18" s="230">
        <v>110.02724006700001</v>
      </c>
      <c r="S18" s="230">
        <v>140.23002818400002</v>
      </c>
      <c r="T18" s="230">
        <v>68.241840176181597</v>
      </c>
      <c r="U18" s="230">
        <v>58.644224644000005</v>
      </c>
      <c r="V18" s="230">
        <v>82.108653742000001</v>
      </c>
    </row>
    <row r="19" spans="2:22" x14ac:dyDescent="0.2">
      <c r="B19" s="225">
        <f>B18+1</f>
        <v>9</v>
      </c>
      <c r="C19" s="224" t="s">
        <v>313</v>
      </c>
      <c r="D19" s="241" t="s">
        <v>431</v>
      </c>
      <c r="E19" s="230">
        <v>-1.4015921061508008</v>
      </c>
      <c r="F19" s="230">
        <v>-7.2035866740935983</v>
      </c>
      <c r="G19" s="230">
        <v>-3.1020260311151997</v>
      </c>
      <c r="H19" s="230">
        <v>-10.1831598242096</v>
      </c>
      <c r="I19" s="230">
        <v>-16.936318854514798</v>
      </c>
      <c r="J19" s="230">
        <v>-15.637894791788799</v>
      </c>
      <c r="K19" s="230">
        <v>-8.2989311499263998</v>
      </c>
      <c r="L19" s="230">
        <v>-3.9830301282272011</v>
      </c>
      <c r="M19" s="230">
        <v>-6.6834240787859978</v>
      </c>
      <c r="N19" s="230">
        <v>-10.755313810785198</v>
      </c>
      <c r="O19" s="230">
        <v>6.8050623302019995</v>
      </c>
      <c r="P19" s="230">
        <v>2.4081031300559999</v>
      </c>
      <c r="Q19" s="230">
        <v>-7.9630156194455992</v>
      </c>
      <c r="R19" s="230">
        <v>1.1459585055155996</v>
      </c>
      <c r="S19" s="230">
        <v>-4.5413854316744002</v>
      </c>
      <c r="T19" s="230">
        <v>-3.4961014154219998</v>
      </c>
      <c r="U19" s="230">
        <v>-2.9196865160568009</v>
      </c>
      <c r="V19" s="230">
        <v>-4.0182793166564394</v>
      </c>
    </row>
    <row r="20" spans="2:22" x14ac:dyDescent="0.2">
      <c r="B20" s="225">
        <f>B19+1</f>
        <v>10</v>
      </c>
      <c r="C20" s="224" t="s">
        <v>314</v>
      </c>
      <c r="D20" s="241" t="s">
        <v>431</v>
      </c>
      <c r="E20" s="230">
        <v>0.30062884155999997</v>
      </c>
      <c r="F20" s="230">
        <v>0.28345218442000003</v>
      </c>
      <c r="G20" s="230">
        <v>0.32166881358000005</v>
      </c>
      <c r="H20" s="230">
        <v>0.397999308</v>
      </c>
      <c r="I20" s="230">
        <v>0.39119757700000002</v>
      </c>
      <c r="J20" s="230">
        <v>0.79913200399999995</v>
      </c>
      <c r="K20" s="230">
        <v>0.62036611600000002</v>
      </c>
      <c r="L20" s="230">
        <v>0.50969086400000008</v>
      </c>
      <c r="M20" s="230">
        <v>0.52683057203999994</v>
      </c>
      <c r="N20" s="230">
        <v>0.56071764497999999</v>
      </c>
      <c r="O20" s="230">
        <v>0.46305180199999996</v>
      </c>
      <c r="P20" s="230">
        <v>1.895764827</v>
      </c>
      <c r="Q20" s="230">
        <v>0.28506983726000001</v>
      </c>
      <c r="R20" s="230">
        <v>0.29963943700000001</v>
      </c>
      <c r="S20" s="230">
        <v>0.2987007149</v>
      </c>
      <c r="T20" s="230">
        <v>0.51310492514000006</v>
      </c>
      <c r="U20" s="230">
        <v>0.39141605769999993</v>
      </c>
      <c r="V20" s="230">
        <v>0.31266558300000002</v>
      </c>
    </row>
    <row r="21" spans="2:22" ht="15" x14ac:dyDescent="0.2">
      <c r="B21" s="225">
        <f>B20+1</f>
        <v>11</v>
      </c>
      <c r="C21" s="224" t="s">
        <v>315</v>
      </c>
      <c r="D21" s="241" t="s">
        <v>431</v>
      </c>
      <c r="E21" s="242">
        <f>E18+E19+E20</f>
        <v>141.16165772440922</v>
      </c>
      <c r="F21" s="242">
        <f t="shared" ref="F21:V21" si="2">F18+F19+F20</f>
        <v>163.62076359432643</v>
      </c>
      <c r="G21" s="242">
        <f t="shared" si="2"/>
        <v>153.24662396593453</v>
      </c>
      <c r="H21" s="242">
        <f t="shared" si="2"/>
        <v>130.54178684979038</v>
      </c>
      <c r="I21" s="242">
        <f t="shared" si="2"/>
        <v>178.32437769048525</v>
      </c>
      <c r="J21" s="242">
        <f t="shared" si="2"/>
        <v>114.81368854321121</v>
      </c>
      <c r="K21" s="242">
        <f t="shared" si="2"/>
        <v>133.64845626907362</v>
      </c>
      <c r="L21" s="242">
        <f t="shared" si="2"/>
        <v>157.74032836177278</v>
      </c>
      <c r="M21" s="242">
        <f t="shared" si="2"/>
        <v>127.5574211703666</v>
      </c>
      <c r="N21" s="242">
        <f t="shared" si="2"/>
        <v>131.51371578419483</v>
      </c>
      <c r="O21" s="242">
        <f t="shared" si="2"/>
        <v>187.725354242202</v>
      </c>
      <c r="P21" s="242">
        <f t="shared" si="2"/>
        <v>214.51203384005603</v>
      </c>
      <c r="Q21" s="242">
        <f t="shared" si="2"/>
        <v>73.698237779814406</v>
      </c>
      <c r="R21" s="242">
        <f t="shared" si="2"/>
        <v>111.4728380095156</v>
      </c>
      <c r="S21" s="242">
        <f t="shared" si="2"/>
        <v>135.98734346722563</v>
      </c>
      <c r="T21" s="242">
        <f t="shared" si="2"/>
        <v>65.258843685899592</v>
      </c>
      <c r="U21" s="242">
        <f t="shared" si="2"/>
        <v>56.115954185643204</v>
      </c>
      <c r="V21" s="242">
        <f t="shared" si="2"/>
        <v>78.403040008343552</v>
      </c>
    </row>
    <row r="22" spans="2:22" ht="15" x14ac:dyDescent="0.2">
      <c r="B22" s="220" t="s">
        <v>316</v>
      </c>
      <c r="C22" s="222" t="s">
        <v>317</v>
      </c>
      <c r="D22" s="225"/>
      <c r="E22" s="243"/>
      <c r="F22" s="243"/>
      <c r="G22" s="243"/>
      <c r="H22" s="243"/>
      <c r="I22" s="243"/>
      <c r="J22" s="243"/>
      <c r="K22" s="243"/>
      <c r="L22" s="243"/>
      <c r="M22" s="243"/>
      <c r="N22" s="243"/>
      <c r="O22" s="243"/>
      <c r="P22" s="243"/>
      <c r="Q22" s="243"/>
      <c r="R22" s="243"/>
      <c r="S22" s="243"/>
      <c r="T22" s="243"/>
      <c r="U22" s="243"/>
      <c r="V22" s="243"/>
    </row>
    <row r="23" spans="2:22" x14ac:dyDescent="0.2">
      <c r="B23" s="225">
        <f>B21+1</f>
        <v>12</v>
      </c>
      <c r="C23" s="224" t="s">
        <v>318</v>
      </c>
      <c r="D23" s="225"/>
      <c r="E23" s="243"/>
      <c r="F23" s="243"/>
      <c r="G23" s="243"/>
      <c r="H23" s="243"/>
      <c r="I23" s="243"/>
      <c r="J23" s="243"/>
      <c r="K23" s="243"/>
      <c r="L23" s="243"/>
      <c r="M23" s="243"/>
      <c r="N23" s="243"/>
      <c r="O23" s="243"/>
      <c r="P23" s="243"/>
      <c r="Q23" s="243"/>
      <c r="R23" s="243"/>
      <c r="S23" s="243"/>
      <c r="T23" s="243"/>
      <c r="U23" s="243"/>
      <c r="V23" s="243"/>
    </row>
    <row r="24" spans="2:22" x14ac:dyDescent="0.2">
      <c r="B24" s="225"/>
      <c r="C24" s="224" t="s">
        <v>319</v>
      </c>
      <c r="D24" s="241" t="s">
        <v>431</v>
      </c>
      <c r="E24" s="230">
        <v>7.3590282435999992</v>
      </c>
      <c r="F24" s="230">
        <v>9.2348624971500026</v>
      </c>
      <c r="G24" s="230">
        <v>7.6952915884752198</v>
      </c>
      <c r="H24" s="230">
        <v>6.0653531898999997</v>
      </c>
      <c r="I24" s="230">
        <v>14.373365337450004</v>
      </c>
      <c r="J24" s="230">
        <v>7.0741027472500013</v>
      </c>
      <c r="K24" s="230">
        <v>7.9258324678999994</v>
      </c>
      <c r="L24" s="230">
        <v>9.7430294816000007</v>
      </c>
      <c r="M24" s="230">
        <v>8.5001463912839057</v>
      </c>
      <c r="N24" s="230">
        <v>9.7562261418999991</v>
      </c>
      <c r="O24" s="230">
        <v>7.4276140625000018</v>
      </c>
      <c r="P24" s="230">
        <v>8.1837305800000006</v>
      </c>
      <c r="Q24" s="230">
        <v>5.2183689942499996</v>
      </c>
      <c r="R24" s="230">
        <v>4.9885281854000008</v>
      </c>
      <c r="S24" s="230">
        <v>6.2133716549999995</v>
      </c>
      <c r="T24" s="230">
        <v>5.70561563465</v>
      </c>
      <c r="U24" s="230">
        <v>4.3647320853999991</v>
      </c>
      <c r="V24" s="230">
        <v>6.1906313576500001</v>
      </c>
    </row>
    <row r="25" spans="2:22" x14ac:dyDescent="0.2">
      <c r="B25" s="225"/>
      <c r="C25" s="224" t="s">
        <v>320</v>
      </c>
      <c r="D25" s="241" t="s">
        <v>431</v>
      </c>
      <c r="E25" s="243"/>
      <c r="F25" s="243"/>
      <c r="G25" s="243"/>
      <c r="H25" s="243"/>
      <c r="I25" s="243"/>
      <c r="J25" s="243"/>
      <c r="K25" s="243"/>
      <c r="L25" s="243"/>
      <c r="M25" s="243"/>
      <c r="N25" s="243"/>
      <c r="O25" s="243"/>
      <c r="P25" s="243"/>
      <c r="Q25" s="243"/>
      <c r="R25" s="243"/>
      <c r="S25" s="243"/>
      <c r="T25" s="243"/>
      <c r="U25" s="243"/>
      <c r="V25" s="243"/>
    </row>
    <row r="26" spans="2:22" x14ac:dyDescent="0.2">
      <c r="B26" s="225"/>
      <c r="C26" s="224" t="s">
        <v>321</v>
      </c>
      <c r="D26" s="241" t="s">
        <v>431</v>
      </c>
      <c r="E26" s="243"/>
      <c r="F26" s="243"/>
      <c r="G26" s="243"/>
      <c r="H26" s="243"/>
      <c r="I26" s="243"/>
      <c r="J26" s="243"/>
      <c r="K26" s="243"/>
      <c r="L26" s="243"/>
      <c r="M26" s="243"/>
      <c r="N26" s="243"/>
      <c r="O26" s="243"/>
      <c r="P26" s="243"/>
      <c r="Q26" s="243"/>
      <c r="R26" s="243"/>
      <c r="S26" s="243"/>
      <c r="T26" s="243"/>
      <c r="U26" s="243"/>
      <c r="V26" s="243"/>
    </row>
    <row r="27" spans="2:22" x14ac:dyDescent="0.2">
      <c r="B27" s="225"/>
      <c r="C27" s="224" t="s">
        <v>9</v>
      </c>
      <c r="D27" s="241" t="s">
        <v>431</v>
      </c>
      <c r="E27" s="243"/>
      <c r="F27" s="243"/>
      <c r="G27" s="243"/>
      <c r="H27" s="243"/>
      <c r="I27" s="243"/>
      <c r="J27" s="243"/>
      <c r="K27" s="243"/>
      <c r="L27" s="243"/>
      <c r="M27" s="243"/>
      <c r="N27" s="243"/>
      <c r="O27" s="243"/>
      <c r="P27" s="243"/>
      <c r="Q27" s="243"/>
      <c r="R27" s="243"/>
      <c r="S27" s="243"/>
      <c r="T27" s="243"/>
      <c r="U27" s="243"/>
      <c r="V27" s="243"/>
    </row>
    <row r="28" spans="2:22" x14ac:dyDescent="0.2">
      <c r="B28" s="225">
        <f>B23+1</f>
        <v>13</v>
      </c>
      <c r="C28" s="224" t="s">
        <v>322</v>
      </c>
      <c r="D28" s="241" t="s">
        <v>431</v>
      </c>
      <c r="E28" s="243"/>
      <c r="F28" s="243"/>
      <c r="G28" s="243"/>
      <c r="H28" s="243"/>
      <c r="I28" s="243"/>
      <c r="J28" s="243"/>
      <c r="K28" s="243"/>
      <c r="L28" s="243"/>
      <c r="M28" s="243"/>
      <c r="N28" s="243"/>
      <c r="O28" s="243"/>
      <c r="P28" s="243"/>
      <c r="Q28" s="243"/>
      <c r="R28" s="243"/>
      <c r="S28" s="243"/>
      <c r="T28" s="243"/>
      <c r="U28" s="243"/>
      <c r="V28" s="243"/>
    </row>
    <row r="29" spans="2:22" x14ac:dyDescent="0.2">
      <c r="B29" s="225">
        <f>B28+1</f>
        <v>14</v>
      </c>
      <c r="C29" s="224" t="s">
        <v>323</v>
      </c>
      <c r="D29" s="241" t="s">
        <v>431</v>
      </c>
      <c r="E29" s="243"/>
      <c r="F29" s="243"/>
      <c r="G29" s="243"/>
      <c r="H29" s="243"/>
      <c r="I29" s="243"/>
      <c r="J29" s="243"/>
      <c r="K29" s="243"/>
      <c r="L29" s="243"/>
      <c r="M29" s="243"/>
      <c r="N29" s="243"/>
      <c r="O29" s="243"/>
      <c r="P29" s="243"/>
      <c r="Q29" s="243"/>
      <c r="R29" s="243"/>
      <c r="S29" s="243"/>
      <c r="T29" s="243"/>
      <c r="U29" s="243"/>
      <c r="V29" s="243"/>
    </row>
    <row r="30" spans="2:22" ht="28.5" x14ac:dyDescent="0.2">
      <c r="B30" s="225">
        <f>B29+1</f>
        <v>15</v>
      </c>
      <c r="C30" s="244" t="s">
        <v>392</v>
      </c>
      <c r="D30" s="241" t="s">
        <v>431</v>
      </c>
      <c r="E30" s="243"/>
      <c r="F30" s="243"/>
      <c r="G30" s="243"/>
      <c r="H30" s="243"/>
      <c r="I30" s="243"/>
      <c r="J30" s="243"/>
      <c r="K30" s="243"/>
      <c r="L30" s="243"/>
      <c r="M30" s="243"/>
      <c r="N30" s="243"/>
      <c r="O30" s="243"/>
      <c r="P30" s="243"/>
      <c r="Q30" s="243"/>
      <c r="R30" s="243"/>
      <c r="S30" s="243"/>
      <c r="T30" s="243"/>
      <c r="U30" s="243"/>
      <c r="V30" s="243"/>
    </row>
    <row r="31" spans="2:22" x14ac:dyDescent="0.2">
      <c r="B31" s="225">
        <f>B30+1</f>
        <v>16</v>
      </c>
      <c r="C31" s="244" t="s">
        <v>324</v>
      </c>
      <c r="D31" s="241" t="s">
        <v>431</v>
      </c>
      <c r="E31" s="230">
        <f>SUM(E24:E30)</f>
        <v>7.3590282435999992</v>
      </c>
      <c r="F31" s="230">
        <f t="shared" ref="F31:V31" si="3">SUM(F24:F30)</f>
        <v>9.2348624971500026</v>
      </c>
      <c r="G31" s="230">
        <f t="shared" si="3"/>
        <v>7.6952915884752198</v>
      </c>
      <c r="H31" s="230">
        <f t="shared" si="3"/>
        <v>6.0653531898999997</v>
      </c>
      <c r="I31" s="230">
        <f t="shared" si="3"/>
        <v>14.373365337450004</v>
      </c>
      <c r="J31" s="230">
        <f t="shared" si="3"/>
        <v>7.0741027472500013</v>
      </c>
      <c r="K31" s="230">
        <f t="shared" si="3"/>
        <v>7.9258324678999994</v>
      </c>
      <c r="L31" s="230">
        <f t="shared" si="3"/>
        <v>9.7430294816000007</v>
      </c>
      <c r="M31" s="230">
        <f t="shared" si="3"/>
        <v>8.5001463912839057</v>
      </c>
      <c r="N31" s="230">
        <f t="shared" si="3"/>
        <v>9.7562261418999991</v>
      </c>
      <c r="O31" s="230">
        <f t="shared" si="3"/>
        <v>7.4276140625000018</v>
      </c>
      <c r="P31" s="230">
        <f t="shared" si="3"/>
        <v>8.1837305800000006</v>
      </c>
      <c r="Q31" s="230">
        <f t="shared" si="3"/>
        <v>5.2183689942499996</v>
      </c>
      <c r="R31" s="230">
        <f t="shared" si="3"/>
        <v>4.9885281854000008</v>
      </c>
      <c r="S31" s="230">
        <f t="shared" si="3"/>
        <v>6.2133716549999995</v>
      </c>
      <c r="T31" s="230">
        <f t="shared" si="3"/>
        <v>5.70561563465</v>
      </c>
      <c r="U31" s="230">
        <f t="shared" si="3"/>
        <v>4.3647320853999991</v>
      </c>
      <c r="V31" s="230">
        <f t="shared" si="3"/>
        <v>6.1906313576500001</v>
      </c>
    </row>
    <row r="32" spans="2:22" ht="28.5" x14ac:dyDescent="0.2">
      <c r="B32" s="225">
        <f>B31+1</f>
        <v>17</v>
      </c>
      <c r="C32" s="244" t="s">
        <v>325</v>
      </c>
      <c r="D32" s="241" t="s">
        <v>431</v>
      </c>
      <c r="E32" s="242">
        <f>E21+E31</f>
        <v>148.52068596800922</v>
      </c>
      <c r="F32" s="242">
        <f t="shared" ref="F32:V32" si="4">F21+F31</f>
        <v>172.85562609147644</v>
      </c>
      <c r="G32" s="242">
        <f t="shared" si="4"/>
        <v>160.94191555440975</v>
      </c>
      <c r="H32" s="242">
        <f t="shared" si="4"/>
        <v>136.60714003969039</v>
      </c>
      <c r="I32" s="242">
        <f t="shared" si="4"/>
        <v>192.69774302793525</v>
      </c>
      <c r="J32" s="242">
        <f t="shared" si="4"/>
        <v>121.88779129046121</v>
      </c>
      <c r="K32" s="242">
        <f t="shared" si="4"/>
        <v>141.57428873697361</v>
      </c>
      <c r="L32" s="242">
        <f t="shared" si="4"/>
        <v>167.48335784337277</v>
      </c>
      <c r="M32" s="242">
        <f t="shared" si="4"/>
        <v>136.0575675616505</v>
      </c>
      <c r="N32" s="242">
        <f t="shared" si="4"/>
        <v>141.26994192609482</v>
      </c>
      <c r="O32" s="242">
        <f t="shared" si="4"/>
        <v>195.152968304702</v>
      </c>
      <c r="P32" s="242">
        <f t="shared" si="4"/>
        <v>222.69576442005604</v>
      </c>
      <c r="Q32" s="242">
        <f t="shared" si="4"/>
        <v>78.916606774064405</v>
      </c>
      <c r="R32" s="242">
        <f t="shared" si="4"/>
        <v>116.4613661949156</v>
      </c>
      <c r="S32" s="242">
        <f t="shared" si="4"/>
        <v>142.20071512222563</v>
      </c>
      <c r="T32" s="242">
        <f t="shared" si="4"/>
        <v>70.964459320549594</v>
      </c>
      <c r="U32" s="242">
        <f t="shared" si="4"/>
        <v>60.480686271043204</v>
      </c>
      <c r="V32" s="242">
        <f t="shared" si="4"/>
        <v>84.593671365993558</v>
      </c>
    </row>
    <row r="33" spans="2:22" ht="15" x14ac:dyDescent="0.2">
      <c r="B33" s="220" t="s">
        <v>326</v>
      </c>
      <c r="C33" s="222" t="s">
        <v>189</v>
      </c>
      <c r="D33" s="225"/>
      <c r="E33" s="243"/>
      <c r="F33" s="243"/>
      <c r="G33" s="243"/>
      <c r="H33" s="243"/>
      <c r="I33" s="243"/>
      <c r="J33" s="243"/>
      <c r="K33" s="243"/>
      <c r="L33" s="243"/>
      <c r="M33" s="243"/>
      <c r="N33" s="243"/>
      <c r="O33" s="243"/>
      <c r="P33" s="243"/>
      <c r="Q33" s="243"/>
      <c r="R33" s="243"/>
      <c r="S33" s="243"/>
      <c r="T33" s="243"/>
      <c r="U33" s="243"/>
      <c r="V33" s="243"/>
    </row>
    <row r="34" spans="2:22" ht="15" x14ac:dyDescent="0.2">
      <c r="B34" s="225">
        <f>B32+1</f>
        <v>18</v>
      </c>
      <c r="C34" s="244" t="s">
        <v>327</v>
      </c>
      <c r="D34" s="225" t="s">
        <v>328</v>
      </c>
      <c r="E34" s="245">
        <v>6616.8188609763429</v>
      </c>
      <c r="F34" s="245">
        <v>6356.7184167095238</v>
      </c>
      <c r="G34" s="245">
        <v>6371.9103452795216</v>
      </c>
      <c r="H34" s="245">
        <v>6618.503823919219</v>
      </c>
      <c r="I34" s="245">
        <v>6350.1999164886147</v>
      </c>
      <c r="J34" s="245">
        <v>5383.4887098188165</v>
      </c>
      <c r="K34" s="245">
        <v>5361.610199435323</v>
      </c>
      <c r="L34" s="245">
        <v>6126.139134510986</v>
      </c>
      <c r="M34" s="245">
        <v>5602.376555907229</v>
      </c>
      <c r="N34" s="245">
        <v>5761.0624647264403</v>
      </c>
      <c r="O34" s="245">
        <v>6283.6166982125915</v>
      </c>
      <c r="P34" s="245">
        <v>6243.1658029295368</v>
      </c>
      <c r="Q34" s="242">
        <f>IFERROR((Q10+Q32)/(Q9+Q16)*10000000,0)</f>
        <v>5747.0640102612078</v>
      </c>
      <c r="R34" s="242">
        <f t="shared" ref="R34:V34" si="5">IFERROR((R10+R32)/(R9+R16)*10000000,0)</f>
        <v>5669.9691169968401</v>
      </c>
      <c r="S34" s="242">
        <f>IFERROR((S10+S32)/(S9+S16)*10000000,0)</f>
        <v>6025.0191843151215</v>
      </c>
      <c r="T34" s="242">
        <f t="shared" si="5"/>
        <v>5940.2999395212291</v>
      </c>
      <c r="U34" s="242">
        <f>IFERROR((U10+U32)/(U9+U16)*10000000,0)</f>
        <v>5845.6896633150682</v>
      </c>
      <c r="V34" s="242">
        <f t="shared" si="5"/>
        <v>5145.8016609169381</v>
      </c>
    </row>
    <row r="35" spans="2:22" x14ac:dyDescent="0.2">
      <c r="B35" s="225">
        <f>B34+1</f>
        <v>19</v>
      </c>
      <c r="C35" s="244" t="s">
        <v>329</v>
      </c>
      <c r="D35" s="225"/>
      <c r="E35" s="246"/>
      <c r="F35" s="246"/>
      <c r="G35" s="246"/>
      <c r="H35" s="246"/>
      <c r="I35" s="246"/>
      <c r="J35" s="246"/>
      <c r="K35" s="246"/>
      <c r="L35" s="246"/>
      <c r="M35" s="246"/>
      <c r="N35" s="246"/>
      <c r="O35" s="246"/>
      <c r="P35" s="246"/>
      <c r="Q35" s="243"/>
      <c r="R35" s="243"/>
      <c r="S35" s="243"/>
      <c r="T35" s="243"/>
      <c r="U35" s="243"/>
      <c r="V35" s="243"/>
    </row>
    <row r="36" spans="2:22" x14ac:dyDescent="0.2">
      <c r="B36" s="225">
        <f>B35+1</f>
        <v>20</v>
      </c>
      <c r="C36" s="244" t="s">
        <v>330</v>
      </c>
      <c r="D36" s="225" t="s">
        <v>328</v>
      </c>
      <c r="E36" s="246"/>
      <c r="F36" s="246"/>
      <c r="G36" s="246"/>
      <c r="H36" s="246"/>
      <c r="I36" s="246"/>
      <c r="J36" s="246"/>
      <c r="K36" s="246"/>
      <c r="L36" s="246"/>
      <c r="M36" s="246"/>
      <c r="N36" s="246"/>
      <c r="O36" s="246"/>
      <c r="P36" s="246"/>
      <c r="Q36" s="243"/>
      <c r="R36" s="243"/>
      <c r="S36" s="243"/>
      <c r="T36" s="243"/>
      <c r="U36" s="243"/>
      <c r="V36" s="243"/>
    </row>
    <row r="37" spans="2:22" ht="15" x14ac:dyDescent="0.2">
      <c r="B37" s="220" t="s">
        <v>331</v>
      </c>
      <c r="C37" s="222" t="s">
        <v>332</v>
      </c>
      <c r="D37" s="225"/>
      <c r="E37" s="246"/>
      <c r="F37" s="246"/>
      <c r="G37" s="246"/>
      <c r="H37" s="246"/>
      <c r="I37" s="246"/>
      <c r="J37" s="246"/>
      <c r="K37" s="246"/>
      <c r="L37" s="246"/>
      <c r="M37" s="246"/>
      <c r="N37" s="246"/>
      <c r="O37" s="246"/>
      <c r="P37" s="246"/>
      <c r="Q37" s="243"/>
      <c r="R37" s="243"/>
      <c r="S37" s="243"/>
      <c r="T37" s="243"/>
      <c r="U37" s="243"/>
      <c r="V37" s="243"/>
    </row>
    <row r="38" spans="2:22" ht="28.5" x14ac:dyDescent="0.2">
      <c r="B38" s="225">
        <f>B36+1</f>
        <v>21</v>
      </c>
      <c r="C38" s="244" t="s">
        <v>391</v>
      </c>
      <c r="D38" s="225" t="s">
        <v>333</v>
      </c>
      <c r="E38" s="246"/>
      <c r="F38" s="246"/>
      <c r="G38" s="246"/>
      <c r="H38" s="246"/>
      <c r="I38" s="246"/>
      <c r="J38" s="246"/>
      <c r="K38" s="246"/>
      <c r="L38" s="246"/>
      <c r="M38" s="246"/>
      <c r="N38" s="246"/>
      <c r="O38" s="246"/>
      <c r="P38" s="246"/>
      <c r="Q38" s="243"/>
      <c r="R38" s="243"/>
      <c r="S38" s="243"/>
      <c r="T38" s="243"/>
      <c r="U38" s="243"/>
      <c r="V38" s="243"/>
    </row>
    <row r="39" spans="2:22" ht="28.5" x14ac:dyDescent="0.2">
      <c r="B39" s="225">
        <f>B38+1</f>
        <v>22</v>
      </c>
      <c r="C39" s="244" t="s">
        <v>334</v>
      </c>
      <c r="D39" s="225" t="s">
        <v>333</v>
      </c>
      <c r="E39" s="246"/>
      <c r="F39" s="246"/>
      <c r="G39" s="246"/>
      <c r="H39" s="246"/>
      <c r="I39" s="246"/>
      <c r="J39" s="246"/>
      <c r="K39" s="246"/>
      <c r="L39" s="246"/>
      <c r="M39" s="246"/>
      <c r="N39" s="246"/>
      <c r="O39" s="246"/>
      <c r="P39" s="246"/>
      <c r="Q39" s="243"/>
      <c r="R39" s="243"/>
      <c r="S39" s="243"/>
      <c r="T39" s="243"/>
      <c r="U39" s="243"/>
      <c r="V39" s="243"/>
    </row>
    <row r="40" spans="2:22" ht="28.5" x14ac:dyDescent="0.2">
      <c r="B40" s="225">
        <f t="shared" ref="B40:B47" si="6">B39+1</f>
        <v>23</v>
      </c>
      <c r="C40" s="244" t="s">
        <v>390</v>
      </c>
      <c r="D40" s="225" t="s">
        <v>333</v>
      </c>
      <c r="E40" s="246"/>
      <c r="F40" s="246"/>
      <c r="G40" s="246"/>
      <c r="H40" s="246"/>
      <c r="I40" s="246"/>
      <c r="J40" s="246"/>
      <c r="K40" s="246"/>
      <c r="L40" s="246"/>
      <c r="M40" s="246"/>
      <c r="N40" s="246"/>
      <c r="O40" s="246"/>
      <c r="P40" s="246"/>
      <c r="Q40" s="243"/>
      <c r="R40" s="243"/>
      <c r="S40" s="243"/>
      <c r="T40" s="243"/>
      <c r="U40" s="243"/>
      <c r="V40" s="243"/>
    </row>
    <row r="41" spans="2:22" x14ac:dyDescent="0.2">
      <c r="B41" s="225">
        <f t="shared" si="6"/>
        <v>24</v>
      </c>
      <c r="C41" s="244" t="s">
        <v>335</v>
      </c>
      <c r="D41" s="225" t="s">
        <v>333</v>
      </c>
      <c r="E41" s="246"/>
      <c r="F41" s="246"/>
      <c r="G41" s="246"/>
      <c r="H41" s="246"/>
      <c r="I41" s="246"/>
      <c r="J41" s="246"/>
      <c r="K41" s="246"/>
      <c r="L41" s="246"/>
      <c r="M41" s="246"/>
      <c r="N41" s="246"/>
      <c r="O41" s="246"/>
      <c r="P41" s="246"/>
      <c r="Q41" s="243"/>
      <c r="R41" s="243"/>
      <c r="S41" s="243"/>
      <c r="T41" s="243"/>
      <c r="U41" s="243"/>
      <c r="V41" s="243"/>
    </row>
    <row r="42" spans="2:22" x14ac:dyDescent="0.2">
      <c r="B42" s="225">
        <f t="shared" si="6"/>
        <v>25</v>
      </c>
      <c r="C42" s="244" t="s">
        <v>336</v>
      </c>
      <c r="D42" s="225" t="s">
        <v>333</v>
      </c>
      <c r="E42" s="228">
        <v>4735</v>
      </c>
      <c r="F42" s="228">
        <v>4592</v>
      </c>
      <c r="G42" s="228">
        <v>4559</v>
      </c>
      <c r="H42" s="228">
        <v>4644</v>
      </c>
      <c r="I42" s="228">
        <v>4557</v>
      </c>
      <c r="J42" s="228">
        <v>3757</v>
      </c>
      <c r="K42" s="228">
        <v>3858</v>
      </c>
      <c r="L42" s="228">
        <v>4369</v>
      </c>
      <c r="M42" s="228">
        <v>3997</v>
      </c>
      <c r="N42" s="228">
        <v>4303</v>
      </c>
      <c r="O42" s="228">
        <v>4604</v>
      </c>
      <c r="P42" s="247">
        <v>4351</v>
      </c>
      <c r="Q42" s="231">
        <v>3783</v>
      </c>
      <c r="R42" s="231">
        <v>4019</v>
      </c>
      <c r="S42" s="231">
        <v>4358</v>
      </c>
      <c r="T42" s="231">
        <v>4093</v>
      </c>
      <c r="U42" s="231">
        <v>4058</v>
      </c>
      <c r="V42" s="231">
        <v>3803</v>
      </c>
    </row>
    <row r="43" spans="2:22" ht="28.5" x14ac:dyDescent="0.2">
      <c r="B43" s="225">
        <f t="shared" si="6"/>
        <v>26</v>
      </c>
      <c r="C43" s="244" t="s">
        <v>389</v>
      </c>
      <c r="D43" s="225" t="s">
        <v>333</v>
      </c>
      <c r="E43" s="246">
        <v>3876</v>
      </c>
      <c r="F43" s="246">
        <v>4220.0902184367906</v>
      </c>
      <c r="G43" s="246">
        <v>4220.0163373573869</v>
      </c>
      <c r="H43" s="246">
        <v>4275.1521168175732</v>
      </c>
      <c r="I43" s="246">
        <v>4291.5126329045743</v>
      </c>
      <c r="J43" s="246">
        <v>3937.4943748740129</v>
      </c>
      <c r="K43" s="246">
        <v>3472.9417775248949</v>
      </c>
      <c r="L43" s="246">
        <v>3489.0569334630518</v>
      </c>
      <c r="M43" s="246">
        <v>3697.8790728495469</v>
      </c>
      <c r="N43" s="246">
        <v>3650.3206969236489</v>
      </c>
      <c r="O43" s="246">
        <v>3710.2339868678887</v>
      </c>
      <c r="P43" s="246">
        <v>3976.602178645091</v>
      </c>
      <c r="Q43" s="243"/>
      <c r="R43" s="243"/>
      <c r="S43" s="243"/>
      <c r="T43" s="243"/>
      <c r="U43" s="243"/>
      <c r="V43" s="243"/>
    </row>
    <row r="44" spans="2:22" x14ac:dyDescent="0.2">
      <c r="B44" s="225">
        <f t="shared" si="6"/>
        <v>27</v>
      </c>
      <c r="C44" s="244" t="s">
        <v>337</v>
      </c>
      <c r="D44" s="225" t="s">
        <v>333</v>
      </c>
      <c r="E44" s="246">
        <v>4360</v>
      </c>
      <c r="F44" s="246">
        <v>4220</v>
      </c>
      <c r="G44" s="246">
        <v>4292</v>
      </c>
      <c r="H44" s="246">
        <v>4298</v>
      </c>
      <c r="I44" s="246">
        <v>3870</v>
      </c>
      <c r="J44" s="246">
        <v>3310</v>
      </c>
      <c r="K44" s="246">
        <v>3494</v>
      </c>
      <c r="L44" s="246">
        <v>3780</v>
      </c>
      <c r="M44" s="246">
        <v>3625</v>
      </c>
      <c r="N44" s="246">
        <v>3742</v>
      </c>
      <c r="O44" s="246">
        <v>4080</v>
      </c>
      <c r="P44" s="246">
        <v>4304</v>
      </c>
      <c r="Q44" s="243"/>
      <c r="R44" s="243"/>
      <c r="S44" s="243"/>
      <c r="T44" s="243"/>
      <c r="U44" s="243"/>
      <c r="V44" s="243"/>
    </row>
    <row r="45" spans="2:22" ht="28.5" x14ac:dyDescent="0.2">
      <c r="B45" s="225">
        <f t="shared" si="6"/>
        <v>28</v>
      </c>
      <c r="C45" s="244" t="s">
        <v>338</v>
      </c>
      <c r="D45" s="225" t="s">
        <v>333</v>
      </c>
      <c r="E45" s="246"/>
      <c r="F45" s="246"/>
      <c r="G45" s="246"/>
      <c r="H45" s="246"/>
      <c r="I45" s="246"/>
      <c r="J45" s="246"/>
      <c r="K45" s="246"/>
      <c r="L45" s="246"/>
      <c r="M45" s="246"/>
      <c r="N45" s="246"/>
      <c r="O45" s="246"/>
      <c r="P45" s="246"/>
      <c r="Q45" s="243"/>
      <c r="R45" s="243"/>
      <c r="S45" s="243"/>
      <c r="T45" s="243"/>
      <c r="U45" s="243"/>
      <c r="V45" s="243"/>
    </row>
    <row r="46" spans="2:22" ht="28.5" x14ac:dyDescent="0.2">
      <c r="B46" s="225">
        <f t="shared" si="6"/>
        <v>29</v>
      </c>
      <c r="C46" s="244" t="s">
        <v>338</v>
      </c>
      <c r="D46" s="225" t="s">
        <v>333</v>
      </c>
      <c r="E46" s="246"/>
      <c r="F46" s="246"/>
      <c r="G46" s="246"/>
      <c r="H46" s="246"/>
      <c r="I46" s="246"/>
      <c r="J46" s="246"/>
      <c r="K46" s="246"/>
      <c r="L46" s="246"/>
      <c r="M46" s="246"/>
      <c r="N46" s="246"/>
      <c r="O46" s="246"/>
      <c r="P46" s="246"/>
      <c r="Q46" s="243"/>
      <c r="R46" s="243"/>
      <c r="S46" s="243"/>
      <c r="T46" s="243"/>
      <c r="U46" s="243"/>
      <c r="V46" s="243"/>
    </row>
    <row r="47" spans="2:22" x14ac:dyDescent="0.2">
      <c r="B47" s="225">
        <f t="shared" si="6"/>
        <v>30</v>
      </c>
      <c r="C47" s="244" t="s">
        <v>339</v>
      </c>
      <c r="D47" s="225" t="s">
        <v>333</v>
      </c>
      <c r="E47" s="228">
        <v>4220.0902184367906</v>
      </c>
      <c r="F47" s="228">
        <v>4220.0163373573869</v>
      </c>
      <c r="G47" s="228">
        <v>4275.1521168175732</v>
      </c>
      <c r="H47" s="228">
        <v>4291.5126329045743</v>
      </c>
      <c r="I47" s="228">
        <v>3937.4943748740129</v>
      </c>
      <c r="J47" s="228">
        <v>3472.9417775248949</v>
      </c>
      <c r="K47" s="228">
        <v>3489.0569334630518</v>
      </c>
      <c r="L47" s="228">
        <v>3697.8790728495469</v>
      </c>
      <c r="M47" s="228">
        <v>3650.3206969236489</v>
      </c>
      <c r="N47" s="228">
        <v>3710.2339868678887</v>
      </c>
      <c r="O47" s="228">
        <v>3976.602178645091</v>
      </c>
      <c r="P47" s="228">
        <v>4189.3228009460581</v>
      </c>
      <c r="Q47" s="231">
        <v>3830</v>
      </c>
      <c r="R47" s="231">
        <v>3351</v>
      </c>
      <c r="S47" s="231">
        <v>3905</v>
      </c>
      <c r="T47" s="231">
        <v>3704</v>
      </c>
      <c r="U47" s="231">
        <v>3547</v>
      </c>
      <c r="V47" s="231">
        <v>3381</v>
      </c>
    </row>
    <row r="49" spans="2:3" ht="15" x14ac:dyDescent="0.2">
      <c r="B49" s="237" t="s">
        <v>242</v>
      </c>
    </row>
    <row r="50" spans="2:3" x14ac:dyDescent="0.2">
      <c r="B50" s="240">
        <v>1</v>
      </c>
      <c r="C50" s="87" t="s">
        <v>340</v>
      </c>
    </row>
    <row r="51" spans="2:3" x14ac:dyDescent="0.2">
      <c r="B51" s="240">
        <f>B50+1</f>
        <v>2</v>
      </c>
      <c r="C51" s="87" t="s">
        <v>341</v>
      </c>
    </row>
    <row r="52" spans="2:3" x14ac:dyDescent="0.2">
      <c r="B52" s="240">
        <f>B51+1</f>
        <v>3</v>
      </c>
      <c r="C52" s="87" t="s">
        <v>342</v>
      </c>
    </row>
    <row r="53" spans="2:3" x14ac:dyDescent="0.2">
      <c r="B53" s="240">
        <f>B52+1</f>
        <v>4</v>
      </c>
      <c r="C53" s="87" t="s">
        <v>343</v>
      </c>
    </row>
  </sheetData>
  <mergeCells count="8">
    <mergeCell ref="B3:V3"/>
    <mergeCell ref="B4:V4"/>
    <mergeCell ref="B2:V2"/>
    <mergeCell ref="E6:P6"/>
    <mergeCell ref="Q6:V6"/>
    <mergeCell ref="B6:B7"/>
    <mergeCell ref="C6:C7"/>
    <mergeCell ref="D6:D7"/>
  </mergeCells>
  <phoneticPr fontId="13" type="noConversion"/>
  <pageMargins left="0.2" right="0.2" top="0.25" bottom="0.25" header="0.3" footer="0.3"/>
  <pageSetup paperSize="9" scale="53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F53"/>
  <sheetViews>
    <sheetView view="pageBreakPreview" topLeftCell="A29" zoomScale="79" zoomScaleSheetLayoutView="79" workbookViewId="0">
      <selection activeCell="G40" sqref="G40"/>
    </sheetView>
  </sheetViews>
  <sheetFormatPr defaultRowHeight="12.75" x14ac:dyDescent="0.2"/>
  <cols>
    <col min="1" max="1" width="4.28515625" customWidth="1"/>
    <col min="2" max="2" width="8.85546875" customWidth="1"/>
    <col min="3" max="3" width="65.28515625" style="302" customWidth="1"/>
    <col min="5" max="5" width="10.28515625" bestFit="1" customWidth="1"/>
    <col min="6" max="7" width="10.140625" bestFit="1" customWidth="1"/>
    <col min="8" max="8" width="12.5703125" bestFit="1" customWidth="1"/>
    <col min="9" max="10" width="10.140625" bestFit="1" customWidth="1"/>
    <col min="11" max="11" width="12.5703125" bestFit="1" customWidth="1"/>
    <col min="12" max="13" width="10.140625" bestFit="1" customWidth="1"/>
    <col min="14" max="14" width="12.5703125" bestFit="1" customWidth="1"/>
    <col min="15" max="16" width="10.140625" bestFit="1" customWidth="1"/>
    <col min="17" max="17" width="12.5703125" bestFit="1" customWidth="1"/>
    <col min="18" max="19" width="10.140625" bestFit="1" customWidth="1"/>
    <col min="20" max="20" width="12.5703125" bestFit="1" customWidth="1"/>
    <col min="21" max="22" width="10.140625" bestFit="1" customWidth="1"/>
    <col min="23" max="23" width="12.5703125" bestFit="1" customWidth="1"/>
    <col min="24" max="25" width="10.140625" bestFit="1" customWidth="1"/>
    <col min="26" max="26" width="12.5703125" bestFit="1" customWidth="1"/>
    <col min="27" max="28" width="10.140625" bestFit="1" customWidth="1"/>
    <col min="29" max="29" width="12.5703125" bestFit="1" customWidth="1"/>
    <col min="30" max="31" width="10.140625" bestFit="1" customWidth="1"/>
    <col min="32" max="32" width="12.5703125" bestFit="1" customWidth="1"/>
    <col min="33" max="34" width="10.140625" bestFit="1" customWidth="1"/>
    <col min="35" max="35" width="12.5703125" bestFit="1" customWidth="1"/>
    <col min="36" max="37" width="10.140625" bestFit="1" customWidth="1"/>
    <col min="38" max="38" width="12.5703125" bestFit="1" customWidth="1"/>
    <col min="39" max="40" width="10.140625" bestFit="1" customWidth="1"/>
    <col min="41" max="41" width="11.28515625" bestFit="1" customWidth="1"/>
    <col min="42" max="43" width="9.42578125" bestFit="1" customWidth="1"/>
    <col min="44" max="44" width="11.28515625" bestFit="1" customWidth="1"/>
    <col min="45" max="46" width="9.42578125" bestFit="1" customWidth="1"/>
    <col min="47" max="47" width="11.28515625" bestFit="1" customWidth="1"/>
    <col min="48" max="49" width="9.42578125" bestFit="1" customWidth="1"/>
    <col min="50" max="50" width="11.28515625" bestFit="1" customWidth="1"/>
    <col min="51" max="52" width="9.42578125" bestFit="1" customWidth="1"/>
    <col min="53" max="53" width="11.28515625" bestFit="1" customWidth="1"/>
    <col min="54" max="55" width="9.42578125" bestFit="1" customWidth="1"/>
    <col min="56" max="56" width="11.28515625" bestFit="1" customWidth="1"/>
    <col min="57" max="57" width="9.42578125" bestFit="1" customWidth="1"/>
    <col min="58" max="58" width="9.28515625" bestFit="1" customWidth="1"/>
  </cols>
  <sheetData>
    <row r="2" spans="2:58" ht="16.5" x14ac:dyDescent="0.2">
      <c r="B2" s="363" t="s">
        <v>428</v>
      </c>
      <c r="C2" s="363"/>
      <c r="D2" s="363"/>
      <c r="E2" s="363"/>
      <c r="F2" s="363"/>
      <c r="G2" s="363"/>
      <c r="H2" s="363"/>
      <c r="I2" s="363"/>
      <c r="J2" s="363"/>
      <c r="K2" s="363"/>
      <c r="L2" s="363"/>
      <c r="M2" s="363"/>
      <c r="N2" s="363"/>
      <c r="O2" s="363"/>
      <c r="P2" s="363"/>
      <c r="Q2" s="363"/>
      <c r="R2" s="363"/>
      <c r="S2" s="363"/>
      <c r="T2" s="363"/>
      <c r="U2" s="363"/>
      <c r="V2" s="363"/>
    </row>
    <row r="3" spans="2:58" ht="16.5" x14ac:dyDescent="0.2">
      <c r="B3" s="363" t="s">
        <v>482</v>
      </c>
      <c r="C3" s="363"/>
      <c r="D3" s="363"/>
      <c r="E3" s="363"/>
      <c r="F3" s="363"/>
      <c r="G3" s="363"/>
      <c r="H3" s="363"/>
      <c r="I3" s="363"/>
      <c r="J3" s="363"/>
      <c r="K3" s="363"/>
      <c r="L3" s="363"/>
      <c r="M3" s="363"/>
      <c r="N3" s="363"/>
      <c r="O3" s="363"/>
      <c r="P3" s="363"/>
      <c r="Q3" s="363"/>
      <c r="R3" s="363"/>
      <c r="S3" s="363"/>
      <c r="T3" s="363"/>
      <c r="U3" s="363"/>
      <c r="V3" s="363"/>
    </row>
    <row r="4" spans="2:58" ht="16.5" x14ac:dyDescent="0.2">
      <c r="B4" s="364" t="s">
        <v>345</v>
      </c>
      <c r="C4" s="364"/>
      <c r="D4" s="364"/>
      <c r="E4" s="364"/>
      <c r="F4" s="364"/>
      <c r="G4" s="364"/>
      <c r="H4" s="364"/>
      <c r="I4" s="364"/>
      <c r="J4" s="364"/>
      <c r="K4" s="364"/>
      <c r="L4" s="364"/>
      <c r="M4" s="364"/>
      <c r="N4" s="364"/>
      <c r="O4" s="364"/>
      <c r="P4" s="364"/>
      <c r="Q4" s="364"/>
      <c r="R4" s="364"/>
      <c r="S4" s="364"/>
      <c r="T4" s="364"/>
      <c r="U4" s="364"/>
      <c r="V4" s="364"/>
    </row>
    <row r="6" spans="2:58" ht="15" x14ac:dyDescent="0.2">
      <c r="B6" s="361" t="s">
        <v>193</v>
      </c>
      <c r="C6" s="362" t="s">
        <v>18</v>
      </c>
      <c r="D6" s="365" t="s">
        <v>39</v>
      </c>
      <c r="E6" s="366">
        <v>45383</v>
      </c>
      <c r="F6" s="366"/>
      <c r="G6" s="366"/>
      <c r="H6" s="366">
        <v>45413</v>
      </c>
      <c r="I6" s="366"/>
      <c r="J6" s="366"/>
      <c r="K6" s="366">
        <v>45444</v>
      </c>
      <c r="L6" s="366"/>
      <c r="M6" s="366"/>
      <c r="N6" s="366">
        <v>45474</v>
      </c>
      <c r="O6" s="366"/>
      <c r="P6" s="366"/>
      <c r="Q6" s="366">
        <v>45505</v>
      </c>
      <c r="R6" s="366"/>
      <c r="S6" s="366"/>
      <c r="T6" s="366">
        <v>45536</v>
      </c>
      <c r="U6" s="366"/>
      <c r="V6" s="366"/>
      <c r="W6" s="366">
        <v>45566</v>
      </c>
      <c r="X6" s="366"/>
      <c r="Y6" s="366"/>
      <c r="Z6" s="366">
        <v>45597</v>
      </c>
      <c r="AA6" s="366"/>
      <c r="AB6" s="366"/>
      <c r="AC6" s="366">
        <v>45627</v>
      </c>
      <c r="AD6" s="366"/>
      <c r="AE6" s="366"/>
      <c r="AF6" s="366">
        <v>45658</v>
      </c>
      <c r="AG6" s="366"/>
      <c r="AH6" s="366"/>
      <c r="AI6" s="366">
        <v>45689</v>
      </c>
      <c r="AJ6" s="366"/>
      <c r="AK6" s="366"/>
      <c r="AL6" s="366">
        <v>45717</v>
      </c>
      <c r="AM6" s="366"/>
      <c r="AN6" s="366"/>
      <c r="AO6" s="366">
        <v>45748</v>
      </c>
      <c r="AP6" s="366"/>
      <c r="AQ6" s="366"/>
      <c r="AR6" s="366">
        <v>45778</v>
      </c>
      <c r="AS6" s="366"/>
      <c r="AT6" s="366"/>
      <c r="AU6" s="366">
        <v>45809</v>
      </c>
      <c r="AV6" s="366"/>
      <c r="AW6" s="366"/>
      <c r="AX6" s="366">
        <v>45839</v>
      </c>
      <c r="AY6" s="366"/>
      <c r="AZ6" s="366"/>
      <c r="BA6" s="366">
        <v>45870</v>
      </c>
      <c r="BB6" s="366"/>
      <c r="BC6" s="366"/>
      <c r="BD6" s="366">
        <v>45901</v>
      </c>
      <c r="BE6" s="366"/>
      <c r="BF6" s="366"/>
    </row>
    <row r="7" spans="2:58" ht="15.75" x14ac:dyDescent="0.2">
      <c r="B7" s="361"/>
      <c r="C7" s="362"/>
      <c r="D7" s="365"/>
      <c r="E7" s="220" t="s">
        <v>483</v>
      </c>
      <c r="F7" s="220" t="s">
        <v>484</v>
      </c>
      <c r="G7" s="220" t="s">
        <v>485</v>
      </c>
      <c r="H7" s="220" t="s">
        <v>483</v>
      </c>
      <c r="I7" s="220" t="s">
        <v>484</v>
      </c>
      <c r="J7" s="220" t="s">
        <v>485</v>
      </c>
      <c r="K7" s="220" t="s">
        <v>483</v>
      </c>
      <c r="L7" s="220" t="s">
        <v>484</v>
      </c>
      <c r="M7" s="220" t="s">
        <v>485</v>
      </c>
      <c r="N7" s="220" t="s">
        <v>483</v>
      </c>
      <c r="O7" s="220" t="s">
        <v>484</v>
      </c>
      <c r="P7" s="220" t="s">
        <v>485</v>
      </c>
      <c r="Q7" s="220" t="s">
        <v>483</v>
      </c>
      <c r="R7" s="220" t="s">
        <v>484</v>
      </c>
      <c r="S7" s="220" t="s">
        <v>485</v>
      </c>
      <c r="T7" s="220" t="s">
        <v>483</v>
      </c>
      <c r="U7" s="220" t="s">
        <v>484</v>
      </c>
      <c r="V7" s="220" t="s">
        <v>485</v>
      </c>
      <c r="W7" s="221" t="s">
        <v>483</v>
      </c>
      <c r="X7" s="221" t="s">
        <v>484</v>
      </c>
      <c r="Y7" s="221" t="s">
        <v>485</v>
      </c>
      <c r="Z7" s="221" t="s">
        <v>483</v>
      </c>
      <c r="AA7" s="221" t="s">
        <v>484</v>
      </c>
      <c r="AB7" s="221" t="s">
        <v>485</v>
      </c>
      <c r="AC7" s="221" t="s">
        <v>483</v>
      </c>
      <c r="AD7" s="221" t="s">
        <v>484</v>
      </c>
      <c r="AE7" s="221" t="s">
        <v>485</v>
      </c>
      <c r="AF7" s="221" t="s">
        <v>483</v>
      </c>
      <c r="AG7" s="221" t="s">
        <v>484</v>
      </c>
      <c r="AH7" s="221" t="s">
        <v>485</v>
      </c>
      <c r="AI7" s="221" t="s">
        <v>483</v>
      </c>
      <c r="AJ7" s="221" t="s">
        <v>484</v>
      </c>
      <c r="AK7" s="221" t="s">
        <v>485</v>
      </c>
      <c r="AL7" s="221" t="s">
        <v>483</v>
      </c>
      <c r="AM7" s="221" t="s">
        <v>484</v>
      </c>
      <c r="AN7" s="221" t="s">
        <v>485</v>
      </c>
      <c r="AO7" s="221" t="s">
        <v>483</v>
      </c>
      <c r="AP7" s="221" t="s">
        <v>484</v>
      </c>
      <c r="AQ7" s="221" t="s">
        <v>485</v>
      </c>
      <c r="AR7" s="221" t="s">
        <v>483</v>
      </c>
      <c r="AS7" s="221" t="s">
        <v>484</v>
      </c>
      <c r="AT7" s="221" t="s">
        <v>485</v>
      </c>
      <c r="AU7" s="221" t="s">
        <v>483</v>
      </c>
      <c r="AV7" s="221" t="s">
        <v>484</v>
      </c>
      <c r="AW7" s="221" t="s">
        <v>485</v>
      </c>
      <c r="AX7" s="221" t="s">
        <v>483</v>
      </c>
      <c r="AY7" s="221" t="s">
        <v>484</v>
      </c>
      <c r="AZ7" s="221" t="s">
        <v>485</v>
      </c>
      <c r="BA7" s="221" t="s">
        <v>483</v>
      </c>
      <c r="BB7" s="221" t="s">
        <v>484</v>
      </c>
      <c r="BC7" s="221" t="s">
        <v>485</v>
      </c>
      <c r="BD7" s="221" t="s">
        <v>483</v>
      </c>
      <c r="BE7" s="221" t="s">
        <v>484</v>
      </c>
      <c r="BF7" s="221" t="s">
        <v>485</v>
      </c>
    </row>
    <row r="8" spans="2:58" ht="15" x14ac:dyDescent="0.2">
      <c r="B8" s="220" t="s">
        <v>67</v>
      </c>
      <c r="C8" s="301" t="s">
        <v>302</v>
      </c>
      <c r="D8" s="223"/>
      <c r="E8" s="224"/>
      <c r="F8" s="224"/>
      <c r="G8" s="224"/>
      <c r="H8" s="224"/>
      <c r="I8" s="224"/>
      <c r="J8" s="224"/>
      <c r="K8" s="224"/>
      <c r="L8" s="224"/>
      <c r="M8" s="224"/>
      <c r="N8" s="224"/>
      <c r="O8" s="224"/>
      <c r="P8" s="224"/>
      <c r="Q8" s="224"/>
      <c r="R8" s="224"/>
      <c r="S8" s="224"/>
      <c r="T8" s="224"/>
      <c r="U8" s="224"/>
      <c r="V8" s="224"/>
      <c r="W8" s="183"/>
      <c r="X8" s="183"/>
      <c r="Y8" s="183"/>
      <c r="Z8" s="183"/>
      <c r="AA8" s="183"/>
      <c r="AB8" s="183"/>
      <c r="AC8" s="183"/>
      <c r="AD8" s="183"/>
      <c r="AE8" s="183"/>
      <c r="AF8" s="183"/>
      <c r="AG8" s="183"/>
      <c r="AH8" s="183"/>
      <c r="AI8" s="183"/>
      <c r="AJ8" s="183"/>
      <c r="AK8" s="183"/>
      <c r="AL8" s="183"/>
      <c r="AM8" s="183"/>
      <c r="AN8" s="183"/>
    </row>
    <row r="9" spans="2:58" ht="14.25" x14ac:dyDescent="0.2">
      <c r="B9" s="225">
        <v>1</v>
      </c>
      <c r="C9" s="244" t="s">
        <v>429</v>
      </c>
      <c r="D9" s="226" t="s">
        <v>430</v>
      </c>
      <c r="E9" s="227">
        <v>2263.6874000000007</v>
      </c>
      <c r="F9" s="227">
        <v>393.03</v>
      </c>
      <c r="G9" s="227">
        <v>222.49100000000067</v>
      </c>
      <c r="H9" s="227">
        <v>2122.0984000000008</v>
      </c>
      <c r="I9" s="227">
        <v>393.03</v>
      </c>
      <c r="J9" s="227">
        <v>222.49100000000067</v>
      </c>
      <c r="K9" s="227">
        <v>2122.0984000000008</v>
      </c>
      <c r="L9" s="227">
        <v>393.03</v>
      </c>
      <c r="M9" s="227">
        <v>222.49100000000067</v>
      </c>
      <c r="N9" s="227">
        <v>2120.6834000000008</v>
      </c>
      <c r="O9" s="227">
        <v>392.63</v>
      </c>
      <c r="P9" s="227">
        <v>222.49100000000067</v>
      </c>
      <c r="Q9" s="227">
        <v>1883.7864000000009</v>
      </c>
      <c r="R9" s="227">
        <v>325.63</v>
      </c>
      <c r="S9" s="227">
        <v>222.49100000000067</v>
      </c>
      <c r="T9" s="227">
        <v>1883.7864000000009</v>
      </c>
      <c r="U9" s="227">
        <v>325.63</v>
      </c>
      <c r="V9" s="227">
        <v>222.49100000000067</v>
      </c>
      <c r="W9" s="228">
        <v>1598.5514000000007</v>
      </c>
      <c r="X9" s="228">
        <v>274.69</v>
      </c>
      <c r="Y9" s="228">
        <v>222.49100000000067</v>
      </c>
      <c r="Z9" s="228">
        <v>1444.4604000000008</v>
      </c>
      <c r="AA9" s="228">
        <v>222.39</v>
      </c>
      <c r="AB9" s="228">
        <v>222.49100000000067</v>
      </c>
      <c r="AC9" s="228">
        <v>1443.1704000000009</v>
      </c>
      <c r="AD9" s="228">
        <v>222.39</v>
      </c>
      <c r="AE9" s="228">
        <v>222.49100000000067</v>
      </c>
      <c r="AF9" s="228">
        <v>1442.8084000000008</v>
      </c>
      <c r="AG9" s="228">
        <v>222.39</v>
      </c>
      <c r="AH9" s="228">
        <v>222.49100000000067</v>
      </c>
      <c r="AI9" s="228">
        <v>1435.6284000000007</v>
      </c>
      <c r="AJ9" s="228">
        <v>222.39</v>
      </c>
      <c r="AK9" s="228">
        <v>222.49100000000067</v>
      </c>
      <c r="AL9" s="228">
        <v>1571.9314000000006</v>
      </c>
      <c r="AM9" s="228">
        <v>182.565</v>
      </c>
      <c r="AN9" s="228">
        <v>222.49100000000067</v>
      </c>
      <c r="AO9" s="229">
        <v>1654.0304000000006</v>
      </c>
      <c r="AP9" s="229">
        <v>182.565</v>
      </c>
      <c r="AQ9" s="229">
        <v>222.49100000000067</v>
      </c>
      <c r="AR9" s="229">
        <v>1639.6404000000005</v>
      </c>
      <c r="AS9" s="229">
        <v>281.42500000000001</v>
      </c>
      <c r="AT9" s="229">
        <v>222.49100000000067</v>
      </c>
      <c r="AU9" s="229">
        <v>1639.2794000000004</v>
      </c>
      <c r="AV9" s="229">
        <v>281.42500000000001</v>
      </c>
      <c r="AW9" s="229">
        <v>222.49100000000067</v>
      </c>
      <c r="AX9" s="229">
        <v>1637.9994000000004</v>
      </c>
      <c r="AY9" s="229">
        <v>281.42500000000001</v>
      </c>
      <c r="AZ9" s="229">
        <v>222.49100000000067</v>
      </c>
      <c r="BA9" s="229">
        <v>1683.5114000000003</v>
      </c>
      <c r="BB9" s="229">
        <v>410.36500000000001</v>
      </c>
      <c r="BC9" s="229">
        <v>222.49100000000067</v>
      </c>
      <c r="BD9" s="229">
        <v>1653.9094000000005</v>
      </c>
      <c r="BE9" s="229">
        <v>345.36500000000001</v>
      </c>
      <c r="BF9" s="229">
        <v>222.49100000000067</v>
      </c>
    </row>
    <row r="10" spans="2:58" ht="14.25" x14ac:dyDescent="0.2">
      <c r="B10" s="225">
        <v>2</v>
      </c>
      <c r="C10" s="244" t="s">
        <v>304</v>
      </c>
      <c r="D10" s="226" t="s">
        <v>431</v>
      </c>
      <c r="E10" s="227">
        <v>13.3933301772137</v>
      </c>
      <c r="F10" s="227">
        <v>3.4182238158412099</v>
      </c>
      <c r="G10" s="227">
        <v>1.57088575826494</v>
      </c>
      <c r="H10" s="227">
        <v>12.555604868294495</v>
      </c>
      <c r="I10" s="227">
        <v>3.4182238158412099</v>
      </c>
      <c r="J10" s="227">
        <v>1.5708857582649398</v>
      </c>
      <c r="K10" s="227">
        <v>12.555604868294495</v>
      </c>
      <c r="L10" s="227">
        <v>3.4182238158412099</v>
      </c>
      <c r="M10" s="227">
        <v>1.5708857582649398</v>
      </c>
      <c r="N10" s="227">
        <v>12.547232880978243</v>
      </c>
      <c r="O10" s="227">
        <v>3.4147449731922097</v>
      </c>
      <c r="P10" s="227">
        <v>1.5708857582649398</v>
      </c>
      <c r="Q10" s="227">
        <v>11.14560837266875</v>
      </c>
      <c r="R10" s="227">
        <v>2.8320388294847039</v>
      </c>
      <c r="S10" s="227">
        <v>1.5708857582649398</v>
      </c>
      <c r="T10" s="227">
        <v>11.14560837266875</v>
      </c>
      <c r="U10" s="227">
        <v>2.8320388294847039</v>
      </c>
      <c r="V10" s="227">
        <v>1.5708857582649398</v>
      </c>
      <c r="W10" s="228">
        <v>9.4579873110780248</v>
      </c>
      <c r="X10" s="228">
        <v>2.3890082181345491</v>
      </c>
      <c r="Y10" s="228">
        <v>1.5708857582649398</v>
      </c>
      <c r="Z10" s="228">
        <v>8.5462926838353077</v>
      </c>
      <c r="AA10" s="228">
        <v>1.9341495417777945</v>
      </c>
      <c r="AB10" s="228">
        <v>1.5708857582649398</v>
      </c>
      <c r="AC10" s="228">
        <v>8.5386602713703148</v>
      </c>
      <c r="AD10" s="228">
        <v>1.9341495417777945</v>
      </c>
      <c r="AE10" s="228">
        <v>1.5708857582649398</v>
      </c>
      <c r="AF10" s="228">
        <v>8.5365184626010695</v>
      </c>
      <c r="AG10" s="228">
        <v>1.9341495417777945</v>
      </c>
      <c r="AH10" s="228">
        <v>1.5708857582649398</v>
      </c>
      <c r="AI10" s="228">
        <v>8.4940372831447561</v>
      </c>
      <c r="AJ10" s="228">
        <v>1.9341495417777945</v>
      </c>
      <c r="AK10" s="228">
        <v>1.5708857582649398</v>
      </c>
      <c r="AL10" s="228">
        <v>9.4367835560195292</v>
      </c>
      <c r="AM10" s="228">
        <v>1.5375721657644645</v>
      </c>
      <c r="AN10" s="228">
        <v>1.5708857582649398</v>
      </c>
      <c r="AO10" s="229">
        <v>9.9776939159617104</v>
      </c>
      <c r="AP10" s="229">
        <v>1.5375721657644599</v>
      </c>
      <c r="AQ10" s="229">
        <v>1.57088575826494</v>
      </c>
      <c r="AR10" s="229">
        <v>9.8908883678589135</v>
      </c>
      <c r="AS10" s="229">
        <v>2.2353458657644598</v>
      </c>
      <c r="AT10" s="229">
        <v>1.5708857582649398</v>
      </c>
      <c r="AU10" s="229">
        <v>9.8887106887160989</v>
      </c>
      <c r="AV10" s="229">
        <v>2.2353458657644598</v>
      </c>
      <c r="AW10" s="229">
        <v>1.5708857582649398</v>
      </c>
      <c r="AX10" s="229">
        <v>9.8809892779050088</v>
      </c>
      <c r="AY10" s="229">
        <v>2.2353458657644598</v>
      </c>
      <c r="AZ10" s="229">
        <v>1.5708857582649398</v>
      </c>
      <c r="BA10" s="229">
        <v>10.158573305475388</v>
      </c>
      <c r="BB10" s="229">
        <v>3.1105441042278232</v>
      </c>
      <c r="BC10" s="229">
        <v>1.5708857582649398</v>
      </c>
      <c r="BD10" s="229">
        <v>9.9605856156985784</v>
      </c>
      <c r="BE10" s="229">
        <v>2.6178476832981423</v>
      </c>
      <c r="BF10" s="229">
        <v>1.5708857582649398</v>
      </c>
    </row>
    <row r="11" spans="2:58" ht="15" x14ac:dyDescent="0.2">
      <c r="B11" s="220" t="s">
        <v>71</v>
      </c>
      <c r="C11" s="301" t="s">
        <v>306</v>
      </c>
      <c r="D11" s="226"/>
      <c r="E11" s="227"/>
      <c r="F11" s="227"/>
      <c r="G11" s="227"/>
      <c r="H11" s="227"/>
      <c r="I11" s="227"/>
      <c r="J11" s="227"/>
      <c r="K11" s="227"/>
      <c r="L11" s="227"/>
      <c r="M11" s="227"/>
      <c r="N11" s="227"/>
      <c r="O11" s="227"/>
      <c r="P11" s="227"/>
      <c r="Q11" s="227"/>
      <c r="R11" s="227"/>
      <c r="S11" s="227"/>
      <c r="T11" s="227"/>
      <c r="U11" s="227"/>
      <c r="V11" s="227"/>
      <c r="W11" s="228"/>
      <c r="X11" s="228"/>
      <c r="Y11" s="228"/>
      <c r="Z11" s="228"/>
      <c r="AA11" s="228"/>
      <c r="AB11" s="228"/>
      <c r="AC11" s="228"/>
      <c r="AD11" s="228"/>
      <c r="AE11" s="228"/>
      <c r="AF11" s="228"/>
      <c r="AG11" s="228"/>
      <c r="AH11" s="228"/>
      <c r="AI11" s="228"/>
      <c r="AJ11" s="228"/>
      <c r="AK11" s="228"/>
      <c r="AL11" s="228"/>
      <c r="AM11" s="228"/>
      <c r="AN11" s="228"/>
      <c r="AO11" s="229"/>
      <c r="AP11" s="229"/>
      <c r="AQ11" s="229"/>
      <c r="AR11" s="229"/>
      <c r="AS11" s="229"/>
      <c r="AT11" s="229"/>
      <c r="AU11" s="229"/>
      <c r="AV11" s="229"/>
      <c r="AW11" s="229"/>
      <c r="AX11" s="229"/>
      <c r="AY11" s="229"/>
      <c r="AZ11" s="229"/>
      <c r="BA11" s="229"/>
      <c r="BB11" s="229"/>
      <c r="BC11" s="229"/>
      <c r="BD11" s="229"/>
      <c r="BE11" s="229"/>
      <c r="BF11" s="229"/>
    </row>
    <row r="12" spans="2:58" ht="14.25" x14ac:dyDescent="0.2">
      <c r="B12" s="225">
        <v>3</v>
      </c>
      <c r="C12" s="244" t="s">
        <v>432</v>
      </c>
      <c r="D12" s="226" t="s">
        <v>430</v>
      </c>
      <c r="E12" s="227">
        <v>0</v>
      </c>
      <c r="F12" s="227">
        <v>0</v>
      </c>
      <c r="G12" s="227">
        <v>0</v>
      </c>
      <c r="H12" s="227">
        <v>0</v>
      </c>
      <c r="I12" s="227">
        <v>0</v>
      </c>
      <c r="J12" s="227">
        <v>0</v>
      </c>
      <c r="K12" s="227">
        <v>0</v>
      </c>
      <c r="L12" s="227">
        <v>0</v>
      </c>
      <c r="M12" s="227">
        <v>0</v>
      </c>
      <c r="N12" s="227">
        <v>0</v>
      </c>
      <c r="O12" s="227">
        <v>0</v>
      </c>
      <c r="P12" s="227">
        <v>0</v>
      </c>
      <c r="Q12" s="227">
        <v>0</v>
      </c>
      <c r="R12" s="227">
        <v>0</v>
      </c>
      <c r="S12" s="227">
        <v>0</v>
      </c>
      <c r="T12" s="227">
        <v>0</v>
      </c>
      <c r="U12" s="227">
        <v>0</v>
      </c>
      <c r="V12" s="227">
        <v>0</v>
      </c>
      <c r="W12" s="228">
        <v>0</v>
      </c>
      <c r="X12" s="228">
        <v>0</v>
      </c>
      <c r="Y12" s="228">
        <v>0</v>
      </c>
      <c r="Z12" s="228">
        <v>0</v>
      </c>
      <c r="AA12" s="228">
        <v>0</v>
      </c>
      <c r="AB12" s="228">
        <v>0</v>
      </c>
      <c r="AC12" s="228">
        <v>0</v>
      </c>
      <c r="AD12" s="228">
        <v>0</v>
      </c>
      <c r="AE12" s="228">
        <v>0</v>
      </c>
      <c r="AF12" s="228">
        <v>0</v>
      </c>
      <c r="AG12" s="228">
        <v>0</v>
      </c>
      <c r="AH12" s="228">
        <v>0</v>
      </c>
      <c r="AI12" s="228">
        <v>237.523</v>
      </c>
      <c r="AJ12" s="228">
        <v>98.864999999999995</v>
      </c>
      <c r="AK12" s="228">
        <v>0</v>
      </c>
      <c r="AL12" s="228">
        <v>95.444000000000003</v>
      </c>
      <c r="AM12" s="228">
        <v>0</v>
      </c>
      <c r="AN12" s="228">
        <v>0</v>
      </c>
      <c r="AO12" s="229">
        <v>0</v>
      </c>
      <c r="AP12" s="229">
        <v>98.86</v>
      </c>
      <c r="AQ12" s="229">
        <v>0</v>
      </c>
      <c r="AR12" s="229">
        <v>0</v>
      </c>
      <c r="AS12" s="229">
        <v>0</v>
      </c>
      <c r="AT12" s="229">
        <v>0</v>
      </c>
      <c r="AU12" s="229">
        <v>0</v>
      </c>
      <c r="AV12" s="229">
        <v>0</v>
      </c>
      <c r="AW12" s="229">
        <v>0</v>
      </c>
      <c r="AX12" s="229">
        <v>487.142</v>
      </c>
      <c r="AY12" s="229">
        <v>343.94</v>
      </c>
      <c r="AZ12" s="229">
        <v>0</v>
      </c>
      <c r="BA12" s="229">
        <v>251.03800000000001</v>
      </c>
      <c r="BB12" s="229">
        <v>0</v>
      </c>
      <c r="BC12" s="229">
        <v>0</v>
      </c>
      <c r="BD12" s="229">
        <v>172.07599999999999</v>
      </c>
      <c r="BE12" s="229">
        <v>48</v>
      </c>
      <c r="BF12" s="229">
        <v>0</v>
      </c>
    </row>
    <row r="13" spans="2:58" ht="14.25" x14ac:dyDescent="0.2">
      <c r="B13" s="225">
        <v>4</v>
      </c>
      <c r="C13" s="244" t="s">
        <v>433</v>
      </c>
      <c r="D13" s="226" t="s">
        <v>430</v>
      </c>
      <c r="E13" s="227"/>
      <c r="F13" s="227"/>
      <c r="G13" s="227"/>
      <c r="H13" s="227"/>
      <c r="I13" s="227"/>
      <c r="J13" s="227"/>
      <c r="K13" s="227"/>
      <c r="L13" s="227"/>
      <c r="M13" s="227"/>
      <c r="N13" s="227"/>
      <c r="O13" s="227"/>
      <c r="P13" s="227"/>
      <c r="Q13" s="227"/>
      <c r="R13" s="227"/>
      <c r="S13" s="227"/>
      <c r="T13" s="227"/>
      <c r="U13" s="227"/>
      <c r="V13" s="227"/>
      <c r="W13" s="228"/>
      <c r="X13" s="228"/>
      <c r="Y13" s="228"/>
      <c r="Z13" s="228"/>
      <c r="AA13" s="228"/>
      <c r="AB13" s="228"/>
      <c r="AC13" s="228"/>
      <c r="AD13" s="228"/>
      <c r="AE13" s="228"/>
      <c r="AF13" s="228"/>
      <c r="AG13" s="228"/>
      <c r="AH13" s="228"/>
      <c r="AI13" s="228"/>
      <c r="AJ13" s="228"/>
      <c r="AK13" s="228"/>
      <c r="AL13" s="228"/>
      <c r="AM13" s="228"/>
      <c r="AN13" s="228"/>
      <c r="AO13" s="183"/>
      <c r="AP13" s="183"/>
      <c r="AQ13" s="183"/>
      <c r="AR13" s="183"/>
      <c r="AS13" s="183"/>
      <c r="AT13" s="183"/>
      <c r="AU13" s="183"/>
      <c r="AV13" s="183"/>
      <c r="AW13" s="183"/>
      <c r="AX13" s="183"/>
      <c r="AY13" s="183"/>
      <c r="AZ13" s="183"/>
      <c r="BA13" s="183"/>
      <c r="BB13" s="183"/>
      <c r="BC13" s="183"/>
      <c r="BD13" s="183"/>
      <c r="BE13" s="183"/>
      <c r="BF13" s="183"/>
    </row>
    <row r="14" spans="2:58" ht="14.25" x14ac:dyDescent="0.2">
      <c r="B14" s="225">
        <v>5</v>
      </c>
      <c r="C14" s="244" t="s">
        <v>434</v>
      </c>
      <c r="D14" s="226" t="s">
        <v>430</v>
      </c>
      <c r="E14" s="227">
        <f>SUM(E12:E13)</f>
        <v>0</v>
      </c>
      <c r="F14" s="227">
        <f t="shared" ref="F14:BF14" si="0">SUM(F12:F13)</f>
        <v>0</v>
      </c>
      <c r="G14" s="227">
        <f t="shared" si="0"/>
        <v>0</v>
      </c>
      <c r="H14" s="227">
        <f t="shared" si="0"/>
        <v>0</v>
      </c>
      <c r="I14" s="227">
        <f t="shared" si="0"/>
        <v>0</v>
      </c>
      <c r="J14" s="227">
        <f t="shared" si="0"/>
        <v>0</v>
      </c>
      <c r="K14" s="227">
        <f t="shared" si="0"/>
        <v>0</v>
      </c>
      <c r="L14" s="227">
        <f t="shared" si="0"/>
        <v>0</v>
      </c>
      <c r="M14" s="227">
        <f t="shared" si="0"/>
        <v>0</v>
      </c>
      <c r="N14" s="227">
        <f t="shared" si="0"/>
        <v>0</v>
      </c>
      <c r="O14" s="227">
        <f t="shared" si="0"/>
        <v>0</v>
      </c>
      <c r="P14" s="227">
        <f t="shared" si="0"/>
        <v>0</v>
      </c>
      <c r="Q14" s="227">
        <f t="shared" si="0"/>
        <v>0</v>
      </c>
      <c r="R14" s="227">
        <f t="shared" si="0"/>
        <v>0</v>
      </c>
      <c r="S14" s="227">
        <f t="shared" si="0"/>
        <v>0</v>
      </c>
      <c r="T14" s="227">
        <f t="shared" si="0"/>
        <v>0</v>
      </c>
      <c r="U14" s="227">
        <f t="shared" si="0"/>
        <v>0</v>
      </c>
      <c r="V14" s="227">
        <f t="shared" si="0"/>
        <v>0</v>
      </c>
      <c r="W14" s="227">
        <f t="shared" si="0"/>
        <v>0</v>
      </c>
      <c r="X14" s="227">
        <f t="shared" si="0"/>
        <v>0</v>
      </c>
      <c r="Y14" s="227">
        <f t="shared" si="0"/>
        <v>0</v>
      </c>
      <c r="Z14" s="227">
        <f t="shared" si="0"/>
        <v>0</v>
      </c>
      <c r="AA14" s="227">
        <f t="shared" si="0"/>
        <v>0</v>
      </c>
      <c r="AB14" s="227">
        <f t="shared" si="0"/>
        <v>0</v>
      </c>
      <c r="AC14" s="227">
        <f t="shared" si="0"/>
        <v>0</v>
      </c>
      <c r="AD14" s="227">
        <f t="shared" si="0"/>
        <v>0</v>
      </c>
      <c r="AE14" s="227">
        <f t="shared" si="0"/>
        <v>0</v>
      </c>
      <c r="AF14" s="227">
        <f t="shared" si="0"/>
        <v>0</v>
      </c>
      <c r="AG14" s="227">
        <f t="shared" si="0"/>
        <v>0</v>
      </c>
      <c r="AH14" s="227">
        <f t="shared" si="0"/>
        <v>0</v>
      </c>
      <c r="AI14" s="227">
        <f t="shared" si="0"/>
        <v>237.523</v>
      </c>
      <c r="AJ14" s="227">
        <f t="shared" si="0"/>
        <v>98.864999999999995</v>
      </c>
      <c r="AK14" s="227">
        <f t="shared" si="0"/>
        <v>0</v>
      </c>
      <c r="AL14" s="227">
        <f t="shared" si="0"/>
        <v>95.444000000000003</v>
      </c>
      <c r="AM14" s="227">
        <f t="shared" si="0"/>
        <v>0</v>
      </c>
      <c r="AN14" s="227">
        <f t="shared" si="0"/>
        <v>0</v>
      </c>
      <c r="AO14" s="227">
        <f t="shared" si="0"/>
        <v>0</v>
      </c>
      <c r="AP14" s="227">
        <f t="shared" si="0"/>
        <v>98.86</v>
      </c>
      <c r="AQ14" s="227">
        <f t="shared" si="0"/>
        <v>0</v>
      </c>
      <c r="AR14" s="227">
        <f t="shared" si="0"/>
        <v>0</v>
      </c>
      <c r="AS14" s="227">
        <f t="shared" si="0"/>
        <v>0</v>
      </c>
      <c r="AT14" s="227">
        <f t="shared" si="0"/>
        <v>0</v>
      </c>
      <c r="AU14" s="227">
        <f t="shared" si="0"/>
        <v>0</v>
      </c>
      <c r="AV14" s="227">
        <f t="shared" si="0"/>
        <v>0</v>
      </c>
      <c r="AW14" s="227">
        <f t="shared" si="0"/>
        <v>0</v>
      </c>
      <c r="AX14" s="227">
        <f t="shared" si="0"/>
        <v>487.142</v>
      </c>
      <c r="AY14" s="227">
        <f t="shared" si="0"/>
        <v>343.94</v>
      </c>
      <c r="AZ14" s="227">
        <f t="shared" si="0"/>
        <v>0</v>
      </c>
      <c r="BA14" s="227">
        <f t="shared" si="0"/>
        <v>251.03800000000001</v>
      </c>
      <c r="BB14" s="227">
        <f t="shared" si="0"/>
        <v>0</v>
      </c>
      <c r="BC14" s="227">
        <f t="shared" si="0"/>
        <v>0</v>
      </c>
      <c r="BD14" s="227">
        <f t="shared" si="0"/>
        <v>172.07599999999999</v>
      </c>
      <c r="BE14" s="227">
        <f t="shared" si="0"/>
        <v>48</v>
      </c>
      <c r="BF14" s="227">
        <f t="shared" si="0"/>
        <v>0</v>
      </c>
    </row>
    <row r="15" spans="2:58" ht="14.25" x14ac:dyDescent="0.2">
      <c r="B15" s="225">
        <v>6</v>
      </c>
      <c r="C15" s="244" t="s">
        <v>309</v>
      </c>
      <c r="D15" s="226" t="s">
        <v>430</v>
      </c>
      <c r="E15" s="227"/>
      <c r="F15" s="227"/>
      <c r="G15" s="227"/>
      <c r="H15" s="227"/>
      <c r="I15" s="227"/>
      <c r="J15" s="227"/>
      <c r="K15" s="227"/>
      <c r="L15" s="227"/>
      <c r="M15" s="227"/>
      <c r="N15" s="227"/>
      <c r="O15" s="227"/>
      <c r="P15" s="227"/>
      <c r="Q15" s="227"/>
      <c r="R15" s="227"/>
      <c r="S15" s="227"/>
      <c r="T15" s="227"/>
      <c r="U15" s="227"/>
      <c r="V15" s="227"/>
      <c r="W15" s="228"/>
      <c r="X15" s="228"/>
      <c r="Y15" s="228"/>
      <c r="Z15" s="228"/>
      <c r="AA15" s="228"/>
      <c r="AB15" s="228"/>
      <c r="AC15" s="228"/>
      <c r="AD15" s="228"/>
      <c r="AE15" s="228"/>
      <c r="AF15" s="228"/>
      <c r="AG15" s="228"/>
      <c r="AH15" s="228"/>
      <c r="AI15" s="228"/>
      <c r="AJ15" s="228"/>
      <c r="AK15" s="228"/>
      <c r="AL15" s="228"/>
      <c r="AM15" s="228"/>
      <c r="AN15" s="228"/>
      <c r="AO15" s="183"/>
      <c r="AP15" s="183"/>
      <c r="AQ15" s="183"/>
      <c r="AR15" s="183"/>
      <c r="AS15" s="183"/>
      <c r="AT15" s="183"/>
      <c r="AU15" s="183"/>
      <c r="AV15" s="183"/>
      <c r="AW15" s="183"/>
      <c r="AX15" s="183"/>
      <c r="AY15" s="183"/>
      <c r="AZ15" s="183"/>
      <c r="BA15" s="183"/>
      <c r="BB15" s="183"/>
      <c r="BC15" s="183"/>
      <c r="BD15" s="183"/>
      <c r="BE15" s="183"/>
      <c r="BF15" s="183"/>
    </row>
    <row r="16" spans="2:58" ht="14.25" x14ac:dyDescent="0.2">
      <c r="B16" s="225">
        <v>7</v>
      </c>
      <c r="C16" s="244" t="s">
        <v>435</v>
      </c>
      <c r="D16" s="226" t="s">
        <v>430</v>
      </c>
      <c r="E16" s="227">
        <f>E14-E15</f>
        <v>0</v>
      </c>
      <c r="F16" s="227">
        <f t="shared" ref="F16:BF16" si="1">F14-F15</f>
        <v>0</v>
      </c>
      <c r="G16" s="227">
        <f t="shared" si="1"/>
        <v>0</v>
      </c>
      <c r="H16" s="227">
        <f t="shared" si="1"/>
        <v>0</v>
      </c>
      <c r="I16" s="227">
        <f t="shared" si="1"/>
        <v>0</v>
      </c>
      <c r="J16" s="227">
        <f t="shared" si="1"/>
        <v>0</v>
      </c>
      <c r="K16" s="227">
        <f t="shared" si="1"/>
        <v>0</v>
      </c>
      <c r="L16" s="227">
        <f t="shared" si="1"/>
        <v>0</v>
      </c>
      <c r="M16" s="227">
        <f t="shared" si="1"/>
        <v>0</v>
      </c>
      <c r="N16" s="227">
        <f t="shared" si="1"/>
        <v>0</v>
      </c>
      <c r="O16" s="227">
        <f t="shared" si="1"/>
        <v>0</v>
      </c>
      <c r="P16" s="227">
        <f t="shared" si="1"/>
        <v>0</v>
      </c>
      <c r="Q16" s="227">
        <f t="shared" si="1"/>
        <v>0</v>
      </c>
      <c r="R16" s="227">
        <f t="shared" si="1"/>
        <v>0</v>
      </c>
      <c r="S16" s="227">
        <f t="shared" si="1"/>
        <v>0</v>
      </c>
      <c r="T16" s="227">
        <f t="shared" si="1"/>
        <v>0</v>
      </c>
      <c r="U16" s="227">
        <f t="shared" si="1"/>
        <v>0</v>
      </c>
      <c r="V16" s="227">
        <f t="shared" si="1"/>
        <v>0</v>
      </c>
      <c r="W16" s="227">
        <f t="shared" si="1"/>
        <v>0</v>
      </c>
      <c r="X16" s="227">
        <f t="shared" si="1"/>
        <v>0</v>
      </c>
      <c r="Y16" s="227">
        <f t="shared" si="1"/>
        <v>0</v>
      </c>
      <c r="Z16" s="227">
        <f t="shared" si="1"/>
        <v>0</v>
      </c>
      <c r="AA16" s="227">
        <f t="shared" si="1"/>
        <v>0</v>
      </c>
      <c r="AB16" s="227">
        <f t="shared" si="1"/>
        <v>0</v>
      </c>
      <c r="AC16" s="227">
        <f t="shared" si="1"/>
        <v>0</v>
      </c>
      <c r="AD16" s="227">
        <f t="shared" si="1"/>
        <v>0</v>
      </c>
      <c r="AE16" s="227">
        <f t="shared" si="1"/>
        <v>0</v>
      </c>
      <c r="AF16" s="227">
        <f t="shared" si="1"/>
        <v>0</v>
      </c>
      <c r="AG16" s="227">
        <f t="shared" si="1"/>
        <v>0</v>
      </c>
      <c r="AH16" s="227">
        <f t="shared" si="1"/>
        <v>0</v>
      </c>
      <c r="AI16" s="227">
        <f t="shared" si="1"/>
        <v>237.523</v>
      </c>
      <c r="AJ16" s="227">
        <f t="shared" si="1"/>
        <v>98.864999999999995</v>
      </c>
      <c r="AK16" s="227">
        <f t="shared" si="1"/>
        <v>0</v>
      </c>
      <c r="AL16" s="227">
        <f t="shared" si="1"/>
        <v>95.444000000000003</v>
      </c>
      <c r="AM16" s="227">
        <f t="shared" si="1"/>
        <v>0</v>
      </c>
      <c r="AN16" s="227">
        <f t="shared" si="1"/>
        <v>0</v>
      </c>
      <c r="AO16" s="227">
        <f t="shared" si="1"/>
        <v>0</v>
      </c>
      <c r="AP16" s="227">
        <f t="shared" si="1"/>
        <v>98.86</v>
      </c>
      <c r="AQ16" s="227">
        <f t="shared" si="1"/>
        <v>0</v>
      </c>
      <c r="AR16" s="227">
        <f t="shared" si="1"/>
        <v>0</v>
      </c>
      <c r="AS16" s="227">
        <f t="shared" si="1"/>
        <v>0</v>
      </c>
      <c r="AT16" s="227">
        <f t="shared" si="1"/>
        <v>0</v>
      </c>
      <c r="AU16" s="227">
        <f t="shared" si="1"/>
        <v>0</v>
      </c>
      <c r="AV16" s="227">
        <f t="shared" si="1"/>
        <v>0</v>
      </c>
      <c r="AW16" s="227">
        <f t="shared" si="1"/>
        <v>0</v>
      </c>
      <c r="AX16" s="227">
        <f t="shared" si="1"/>
        <v>487.142</v>
      </c>
      <c r="AY16" s="227">
        <f t="shared" si="1"/>
        <v>343.94</v>
      </c>
      <c r="AZ16" s="227">
        <f t="shared" si="1"/>
        <v>0</v>
      </c>
      <c r="BA16" s="227">
        <f t="shared" si="1"/>
        <v>251.03800000000001</v>
      </c>
      <c r="BB16" s="227">
        <f t="shared" si="1"/>
        <v>0</v>
      </c>
      <c r="BC16" s="227">
        <f t="shared" si="1"/>
        <v>0</v>
      </c>
      <c r="BD16" s="227">
        <f t="shared" si="1"/>
        <v>172.07599999999999</v>
      </c>
      <c r="BE16" s="227">
        <f t="shared" si="1"/>
        <v>48</v>
      </c>
      <c r="BF16" s="227">
        <f t="shared" si="1"/>
        <v>0</v>
      </c>
    </row>
    <row r="17" spans="2:58" ht="15" x14ac:dyDescent="0.2">
      <c r="B17" s="220" t="s">
        <v>72</v>
      </c>
      <c r="C17" s="301" t="s">
        <v>311</v>
      </c>
      <c r="D17" s="226"/>
      <c r="E17" s="227"/>
      <c r="F17" s="227"/>
      <c r="G17" s="227"/>
      <c r="H17" s="227"/>
      <c r="I17" s="227"/>
      <c r="J17" s="227"/>
      <c r="K17" s="227"/>
      <c r="L17" s="227"/>
      <c r="M17" s="227"/>
      <c r="N17" s="227"/>
      <c r="O17" s="227"/>
      <c r="P17" s="227"/>
      <c r="Q17" s="227"/>
      <c r="R17" s="227"/>
      <c r="S17" s="227"/>
      <c r="T17" s="227"/>
      <c r="U17" s="227"/>
      <c r="V17" s="227"/>
      <c r="W17" s="228"/>
      <c r="X17" s="228"/>
      <c r="Y17" s="228"/>
      <c r="Z17" s="228"/>
      <c r="AA17" s="228"/>
      <c r="AB17" s="228"/>
      <c r="AC17" s="228"/>
      <c r="AD17" s="228"/>
      <c r="AE17" s="228"/>
      <c r="AF17" s="228"/>
      <c r="AG17" s="228"/>
      <c r="AH17" s="228"/>
      <c r="AI17" s="228"/>
      <c r="AJ17" s="228"/>
      <c r="AK17" s="228"/>
      <c r="AL17" s="228"/>
      <c r="AM17" s="228"/>
      <c r="AN17" s="228"/>
      <c r="AO17" s="183"/>
      <c r="AP17" s="183"/>
      <c r="AQ17" s="183"/>
      <c r="AR17" s="183"/>
      <c r="AS17" s="183"/>
      <c r="AT17" s="183"/>
      <c r="AU17" s="183"/>
      <c r="AV17" s="183"/>
      <c r="AW17" s="183"/>
      <c r="AX17" s="183"/>
      <c r="AY17" s="183"/>
      <c r="AZ17" s="183"/>
      <c r="BA17" s="183"/>
      <c r="BB17" s="183"/>
      <c r="BC17" s="183"/>
      <c r="BD17" s="183"/>
      <c r="BE17" s="183"/>
      <c r="BF17" s="183"/>
    </row>
    <row r="18" spans="2:58" ht="14.25" x14ac:dyDescent="0.2">
      <c r="B18" s="225">
        <v>8</v>
      </c>
      <c r="C18" s="244" t="s">
        <v>436</v>
      </c>
      <c r="D18" s="226" t="s">
        <v>431</v>
      </c>
      <c r="E18" s="227">
        <v>0</v>
      </c>
      <c r="F18" s="227">
        <v>0</v>
      </c>
      <c r="G18" s="227">
        <v>0</v>
      </c>
      <c r="H18" s="227">
        <v>0</v>
      </c>
      <c r="I18" s="227">
        <v>0</v>
      </c>
      <c r="J18" s="227">
        <v>0</v>
      </c>
      <c r="K18" s="227">
        <v>0</v>
      </c>
      <c r="L18" s="227">
        <v>0</v>
      </c>
      <c r="M18" s="227">
        <v>0</v>
      </c>
      <c r="N18" s="227">
        <v>0</v>
      </c>
      <c r="O18" s="227">
        <v>0</v>
      </c>
      <c r="P18" s="227">
        <v>0</v>
      </c>
      <c r="Q18" s="227">
        <v>0</v>
      </c>
      <c r="R18" s="227">
        <v>0</v>
      </c>
      <c r="S18" s="227">
        <v>0</v>
      </c>
      <c r="T18" s="227">
        <v>0</v>
      </c>
      <c r="U18" s="227">
        <v>0</v>
      </c>
      <c r="V18" s="227">
        <v>0</v>
      </c>
      <c r="W18" s="228">
        <v>0</v>
      </c>
      <c r="X18" s="228">
        <v>0</v>
      </c>
      <c r="Y18" s="228">
        <v>0</v>
      </c>
      <c r="Z18" s="228">
        <v>0</v>
      </c>
      <c r="AA18" s="228">
        <v>0</v>
      </c>
      <c r="AB18" s="228">
        <v>0</v>
      </c>
      <c r="AC18" s="228">
        <v>0</v>
      </c>
      <c r="AD18" s="228">
        <v>0</v>
      </c>
      <c r="AE18" s="228">
        <v>0</v>
      </c>
      <c r="AF18" s="228">
        <v>0</v>
      </c>
      <c r="AG18" s="228">
        <v>0</v>
      </c>
      <c r="AH18" s="228">
        <v>0</v>
      </c>
      <c r="AI18" s="228">
        <v>1.5504008</v>
      </c>
      <c r="AJ18" s="228">
        <v>0.77147719999999997</v>
      </c>
      <c r="AK18" s="228">
        <v>0</v>
      </c>
      <c r="AL18" s="228">
        <v>0.62141210000000002</v>
      </c>
      <c r="AM18" s="228">
        <v>0</v>
      </c>
      <c r="AN18" s="228">
        <v>0</v>
      </c>
      <c r="AO18" s="228">
        <v>0</v>
      </c>
      <c r="AP18" s="228">
        <v>0.69777370000000005</v>
      </c>
      <c r="AQ18" s="228">
        <v>0</v>
      </c>
      <c r="AR18" s="228">
        <v>0</v>
      </c>
      <c r="AS18" s="228">
        <v>0</v>
      </c>
      <c r="AT18" s="228">
        <v>0</v>
      </c>
      <c r="AU18" s="228">
        <v>0</v>
      </c>
      <c r="AV18" s="228">
        <v>0</v>
      </c>
      <c r="AW18" s="228">
        <v>0</v>
      </c>
      <c r="AX18" s="228">
        <v>2.9424491000000002</v>
      </c>
      <c r="AY18" s="228">
        <v>2.5048864000000002</v>
      </c>
      <c r="AZ18" s="228">
        <v>0</v>
      </c>
      <c r="BA18" s="228">
        <v>1.4921525</v>
      </c>
      <c r="BB18" s="228">
        <v>0</v>
      </c>
      <c r="BC18" s="228">
        <v>0</v>
      </c>
      <c r="BD18" s="228">
        <v>1.0032093</v>
      </c>
      <c r="BE18" s="228">
        <v>0.3615331</v>
      </c>
      <c r="BF18" s="228">
        <v>0</v>
      </c>
    </row>
    <row r="19" spans="2:58" ht="14.25" x14ac:dyDescent="0.2">
      <c r="B19" s="225">
        <v>9</v>
      </c>
      <c r="C19" s="244" t="s">
        <v>437</v>
      </c>
      <c r="D19" s="226" t="s">
        <v>431</v>
      </c>
      <c r="E19" s="227"/>
      <c r="F19" s="227"/>
      <c r="G19" s="227"/>
      <c r="H19" s="227"/>
      <c r="I19" s="227"/>
      <c r="J19" s="227"/>
      <c r="K19" s="227"/>
      <c r="L19" s="227"/>
      <c r="M19" s="227"/>
      <c r="N19" s="227"/>
      <c r="O19" s="227"/>
      <c r="P19" s="227"/>
      <c r="Q19" s="227"/>
      <c r="R19" s="227"/>
      <c r="S19" s="227"/>
      <c r="T19" s="227"/>
      <c r="U19" s="227"/>
      <c r="V19" s="227"/>
      <c r="W19" s="228"/>
      <c r="X19" s="228"/>
      <c r="Y19" s="228"/>
      <c r="Z19" s="228"/>
      <c r="AA19" s="228"/>
      <c r="AB19" s="228"/>
      <c r="AC19" s="228"/>
      <c r="AD19" s="228"/>
      <c r="AE19" s="228"/>
      <c r="AF19" s="228"/>
      <c r="AG19" s="228"/>
      <c r="AH19" s="228"/>
      <c r="AI19" s="228"/>
      <c r="AJ19" s="228"/>
      <c r="AK19" s="228"/>
      <c r="AL19" s="228"/>
      <c r="AM19" s="228"/>
      <c r="AN19" s="228"/>
      <c r="AO19" s="183"/>
      <c r="AP19" s="183"/>
      <c r="AQ19" s="183"/>
      <c r="AR19" s="183"/>
      <c r="AS19" s="183"/>
      <c r="AT19" s="183"/>
      <c r="AU19" s="183"/>
      <c r="AV19" s="183"/>
      <c r="AW19" s="183"/>
      <c r="AX19" s="183"/>
      <c r="AY19" s="183"/>
      <c r="AZ19" s="183"/>
      <c r="BA19" s="183"/>
      <c r="BB19" s="183"/>
      <c r="BC19" s="183"/>
      <c r="BD19" s="183"/>
      <c r="BE19" s="183"/>
      <c r="BF19" s="183"/>
    </row>
    <row r="20" spans="2:58" ht="14.25" x14ac:dyDescent="0.2">
      <c r="B20" s="225">
        <v>10</v>
      </c>
      <c r="C20" s="244" t="s">
        <v>314</v>
      </c>
      <c r="D20" s="226" t="s">
        <v>431</v>
      </c>
      <c r="E20" s="227"/>
      <c r="F20" s="227"/>
      <c r="G20" s="227"/>
      <c r="H20" s="227"/>
      <c r="I20" s="227"/>
      <c r="J20" s="227"/>
      <c r="K20" s="227"/>
      <c r="L20" s="227"/>
      <c r="M20" s="227"/>
      <c r="N20" s="227"/>
      <c r="O20" s="227"/>
      <c r="P20" s="227"/>
      <c r="Q20" s="227"/>
      <c r="R20" s="227"/>
      <c r="S20" s="227"/>
      <c r="T20" s="227"/>
      <c r="U20" s="227"/>
      <c r="V20" s="227"/>
      <c r="W20" s="228"/>
      <c r="X20" s="228"/>
      <c r="Y20" s="228"/>
      <c r="Z20" s="228"/>
      <c r="AA20" s="228"/>
      <c r="AB20" s="228"/>
      <c r="AC20" s="228"/>
      <c r="AD20" s="228"/>
      <c r="AE20" s="228"/>
      <c r="AF20" s="228"/>
      <c r="AG20" s="228"/>
      <c r="AH20" s="228"/>
      <c r="AI20" s="228"/>
      <c r="AJ20" s="228"/>
      <c r="AK20" s="228"/>
      <c r="AL20" s="228"/>
      <c r="AM20" s="228"/>
      <c r="AN20" s="228"/>
      <c r="AO20" s="183"/>
      <c r="AP20" s="183"/>
      <c r="AQ20" s="183"/>
      <c r="AR20" s="183"/>
      <c r="AS20" s="183"/>
      <c r="AT20" s="183"/>
      <c r="AU20" s="183"/>
      <c r="AV20" s="183"/>
      <c r="AW20" s="183"/>
      <c r="AX20" s="183"/>
      <c r="AY20" s="183"/>
      <c r="AZ20" s="183"/>
      <c r="BA20" s="183"/>
      <c r="BB20" s="183"/>
      <c r="BC20" s="183"/>
      <c r="BD20" s="183"/>
      <c r="BE20" s="183"/>
      <c r="BF20" s="183"/>
    </row>
    <row r="21" spans="2:58" ht="14.25" x14ac:dyDescent="0.2">
      <c r="B21" s="225">
        <v>11</v>
      </c>
      <c r="C21" s="244" t="s">
        <v>315</v>
      </c>
      <c r="D21" s="226" t="s">
        <v>431</v>
      </c>
      <c r="E21" s="227">
        <f>SUM(E18:E20)</f>
        <v>0</v>
      </c>
      <c r="F21" s="227">
        <f t="shared" ref="F21:BF21" si="2">SUM(F18:F20)</f>
        <v>0</v>
      </c>
      <c r="G21" s="227">
        <f t="shared" si="2"/>
        <v>0</v>
      </c>
      <c r="H21" s="227">
        <f t="shared" si="2"/>
        <v>0</v>
      </c>
      <c r="I21" s="227">
        <f t="shared" si="2"/>
        <v>0</v>
      </c>
      <c r="J21" s="227">
        <f t="shared" si="2"/>
        <v>0</v>
      </c>
      <c r="K21" s="227">
        <f t="shared" si="2"/>
        <v>0</v>
      </c>
      <c r="L21" s="227">
        <f t="shared" si="2"/>
        <v>0</v>
      </c>
      <c r="M21" s="227">
        <f t="shared" si="2"/>
        <v>0</v>
      </c>
      <c r="N21" s="227">
        <f t="shared" si="2"/>
        <v>0</v>
      </c>
      <c r="O21" s="227">
        <f t="shared" si="2"/>
        <v>0</v>
      </c>
      <c r="P21" s="227">
        <f t="shared" si="2"/>
        <v>0</v>
      </c>
      <c r="Q21" s="227">
        <f t="shared" si="2"/>
        <v>0</v>
      </c>
      <c r="R21" s="227">
        <f t="shared" si="2"/>
        <v>0</v>
      </c>
      <c r="S21" s="227">
        <f t="shared" si="2"/>
        <v>0</v>
      </c>
      <c r="T21" s="227">
        <f t="shared" si="2"/>
        <v>0</v>
      </c>
      <c r="U21" s="227">
        <f t="shared" si="2"/>
        <v>0</v>
      </c>
      <c r="V21" s="227">
        <f t="shared" si="2"/>
        <v>0</v>
      </c>
      <c r="W21" s="227">
        <f t="shared" si="2"/>
        <v>0</v>
      </c>
      <c r="X21" s="227">
        <f t="shared" si="2"/>
        <v>0</v>
      </c>
      <c r="Y21" s="227">
        <f t="shared" si="2"/>
        <v>0</v>
      </c>
      <c r="Z21" s="227">
        <f t="shared" si="2"/>
        <v>0</v>
      </c>
      <c r="AA21" s="227">
        <f t="shared" si="2"/>
        <v>0</v>
      </c>
      <c r="AB21" s="227">
        <f t="shared" si="2"/>
        <v>0</v>
      </c>
      <c r="AC21" s="227">
        <f t="shared" si="2"/>
        <v>0</v>
      </c>
      <c r="AD21" s="227">
        <f t="shared" si="2"/>
        <v>0</v>
      </c>
      <c r="AE21" s="227">
        <f t="shared" si="2"/>
        <v>0</v>
      </c>
      <c r="AF21" s="227">
        <f t="shared" si="2"/>
        <v>0</v>
      </c>
      <c r="AG21" s="227">
        <f t="shared" si="2"/>
        <v>0</v>
      </c>
      <c r="AH21" s="227">
        <f t="shared" si="2"/>
        <v>0</v>
      </c>
      <c r="AI21" s="227">
        <f t="shared" si="2"/>
        <v>1.5504008</v>
      </c>
      <c r="AJ21" s="227">
        <f t="shared" si="2"/>
        <v>0.77147719999999997</v>
      </c>
      <c r="AK21" s="227">
        <f t="shared" si="2"/>
        <v>0</v>
      </c>
      <c r="AL21" s="227">
        <f t="shared" si="2"/>
        <v>0.62141210000000002</v>
      </c>
      <c r="AM21" s="227">
        <f t="shared" si="2"/>
        <v>0</v>
      </c>
      <c r="AN21" s="227">
        <f t="shared" si="2"/>
        <v>0</v>
      </c>
      <c r="AO21" s="227">
        <f t="shared" si="2"/>
        <v>0</v>
      </c>
      <c r="AP21" s="227">
        <f t="shared" si="2"/>
        <v>0.69777370000000005</v>
      </c>
      <c r="AQ21" s="227">
        <f t="shared" si="2"/>
        <v>0</v>
      </c>
      <c r="AR21" s="227">
        <f t="shared" si="2"/>
        <v>0</v>
      </c>
      <c r="AS21" s="227">
        <f t="shared" si="2"/>
        <v>0</v>
      </c>
      <c r="AT21" s="227">
        <f t="shared" si="2"/>
        <v>0</v>
      </c>
      <c r="AU21" s="227">
        <f t="shared" si="2"/>
        <v>0</v>
      </c>
      <c r="AV21" s="227">
        <f t="shared" si="2"/>
        <v>0</v>
      </c>
      <c r="AW21" s="227">
        <f t="shared" si="2"/>
        <v>0</v>
      </c>
      <c r="AX21" s="227">
        <f t="shared" si="2"/>
        <v>2.9424491000000002</v>
      </c>
      <c r="AY21" s="227">
        <f t="shared" si="2"/>
        <v>2.5048864000000002</v>
      </c>
      <c r="AZ21" s="227">
        <f t="shared" si="2"/>
        <v>0</v>
      </c>
      <c r="BA21" s="227">
        <f t="shared" si="2"/>
        <v>1.4921525</v>
      </c>
      <c r="BB21" s="227">
        <f t="shared" si="2"/>
        <v>0</v>
      </c>
      <c r="BC21" s="227">
        <f t="shared" si="2"/>
        <v>0</v>
      </c>
      <c r="BD21" s="227">
        <f t="shared" si="2"/>
        <v>1.0032093</v>
      </c>
      <c r="BE21" s="227">
        <f t="shared" si="2"/>
        <v>0.3615331</v>
      </c>
      <c r="BF21" s="227">
        <f t="shared" si="2"/>
        <v>0</v>
      </c>
    </row>
    <row r="22" spans="2:58" ht="15" x14ac:dyDescent="0.2">
      <c r="B22" s="220" t="s">
        <v>316</v>
      </c>
      <c r="C22" s="301" t="s">
        <v>317</v>
      </c>
      <c r="D22" s="226"/>
      <c r="E22" s="227"/>
      <c r="F22" s="227"/>
      <c r="G22" s="227"/>
      <c r="H22" s="227"/>
      <c r="I22" s="227"/>
      <c r="J22" s="227"/>
      <c r="K22" s="227"/>
      <c r="L22" s="227"/>
      <c r="M22" s="227"/>
      <c r="N22" s="227"/>
      <c r="O22" s="227"/>
      <c r="P22" s="227"/>
      <c r="Q22" s="227"/>
      <c r="R22" s="227"/>
      <c r="S22" s="227"/>
      <c r="T22" s="227"/>
      <c r="U22" s="227"/>
      <c r="V22" s="227"/>
      <c r="W22" s="228"/>
      <c r="X22" s="228"/>
      <c r="Y22" s="228"/>
      <c r="Z22" s="228"/>
      <c r="AA22" s="228"/>
      <c r="AB22" s="228"/>
      <c r="AC22" s="228"/>
      <c r="AD22" s="228"/>
      <c r="AE22" s="228"/>
      <c r="AF22" s="228"/>
      <c r="AG22" s="228"/>
      <c r="AH22" s="228"/>
      <c r="AI22" s="228"/>
      <c r="AJ22" s="228"/>
      <c r="AK22" s="228"/>
      <c r="AL22" s="228"/>
      <c r="AM22" s="228"/>
      <c r="AN22" s="228"/>
      <c r="AO22" s="183"/>
      <c r="AP22" s="183"/>
      <c r="AQ22" s="183"/>
      <c r="AR22" s="183"/>
      <c r="AS22" s="183"/>
      <c r="AT22" s="183"/>
      <c r="AU22" s="183"/>
      <c r="AV22" s="183"/>
      <c r="AW22" s="183"/>
      <c r="AX22" s="183"/>
      <c r="AY22" s="183"/>
      <c r="AZ22" s="183"/>
      <c r="BA22" s="183"/>
      <c r="BB22" s="183"/>
      <c r="BC22" s="183"/>
      <c r="BD22" s="183"/>
      <c r="BE22" s="183"/>
      <c r="BF22" s="183"/>
    </row>
    <row r="23" spans="2:58" ht="14.25" x14ac:dyDescent="0.2">
      <c r="B23" s="225">
        <v>12</v>
      </c>
      <c r="C23" s="244" t="s">
        <v>318</v>
      </c>
      <c r="D23" s="226"/>
      <c r="E23" s="227"/>
      <c r="F23" s="227"/>
      <c r="G23" s="227"/>
      <c r="H23" s="227"/>
      <c r="I23" s="227"/>
      <c r="J23" s="227"/>
      <c r="K23" s="227"/>
      <c r="L23" s="227"/>
      <c r="M23" s="227"/>
      <c r="N23" s="227"/>
      <c r="O23" s="227"/>
      <c r="P23" s="227"/>
      <c r="Q23" s="227"/>
      <c r="R23" s="227"/>
      <c r="S23" s="227"/>
      <c r="T23" s="227"/>
      <c r="U23" s="227"/>
      <c r="V23" s="227"/>
      <c r="W23" s="228"/>
      <c r="X23" s="228"/>
      <c r="Y23" s="228"/>
      <c r="Z23" s="228"/>
      <c r="AA23" s="228"/>
      <c r="AB23" s="228"/>
      <c r="AC23" s="228"/>
      <c r="AD23" s="228"/>
      <c r="AE23" s="228"/>
      <c r="AF23" s="228"/>
      <c r="AG23" s="228"/>
      <c r="AH23" s="228"/>
      <c r="AI23" s="228"/>
      <c r="AJ23" s="228"/>
      <c r="AK23" s="228"/>
      <c r="AL23" s="228"/>
      <c r="AM23" s="228"/>
      <c r="AN23" s="228"/>
      <c r="AO23" s="183"/>
      <c r="AP23" s="183"/>
      <c r="AQ23" s="183"/>
      <c r="AR23" s="183"/>
      <c r="AS23" s="183"/>
      <c r="AT23" s="183"/>
      <c r="AU23" s="183"/>
      <c r="AV23" s="183"/>
      <c r="AW23" s="183"/>
      <c r="AX23" s="183"/>
      <c r="AY23" s="183"/>
      <c r="AZ23" s="183"/>
      <c r="BA23" s="183"/>
      <c r="BB23" s="183"/>
      <c r="BC23" s="183"/>
      <c r="BD23" s="183"/>
      <c r="BE23" s="183"/>
      <c r="BF23" s="183"/>
    </row>
    <row r="24" spans="2:58" ht="14.25" x14ac:dyDescent="0.2">
      <c r="B24" s="225"/>
      <c r="C24" s="244" t="s">
        <v>319</v>
      </c>
      <c r="D24" s="226" t="s">
        <v>431</v>
      </c>
      <c r="E24" s="227"/>
      <c r="F24" s="227"/>
      <c r="G24" s="227"/>
      <c r="H24" s="227"/>
      <c r="I24" s="227"/>
      <c r="J24" s="227"/>
      <c r="K24" s="227"/>
      <c r="L24" s="227"/>
      <c r="M24" s="227"/>
      <c r="N24" s="227"/>
      <c r="O24" s="227"/>
      <c r="P24" s="227"/>
      <c r="Q24" s="227"/>
      <c r="R24" s="227"/>
      <c r="S24" s="227"/>
      <c r="T24" s="227"/>
      <c r="U24" s="227"/>
      <c r="V24" s="227"/>
      <c r="W24" s="228"/>
      <c r="X24" s="228"/>
      <c r="Y24" s="228"/>
      <c r="Z24" s="228"/>
      <c r="AA24" s="228"/>
      <c r="AB24" s="228"/>
      <c r="AC24" s="228"/>
      <c r="AD24" s="228"/>
      <c r="AE24" s="228"/>
      <c r="AF24" s="228"/>
      <c r="AG24" s="228"/>
      <c r="AH24" s="228"/>
      <c r="AI24" s="228"/>
      <c r="AJ24" s="228"/>
      <c r="AK24" s="228"/>
      <c r="AL24" s="228"/>
      <c r="AM24" s="228"/>
      <c r="AN24" s="228"/>
      <c r="AO24" s="183"/>
      <c r="AP24" s="183"/>
      <c r="AQ24" s="183"/>
      <c r="AR24" s="183"/>
      <c r="AS24" s="183"/>
      <c r="AT24" s="183"/>
      <c r="AU24" s="183"/>
      <c r="AV24" s="183"/>
      <c r="AW24" s="183"/>
      <c r="AX24" s="183"/>
      <c r="AY24" s="183"/>
      <c r="AZ24" s="183"/>
      <c r="BA24" s="183"/>
      <c r="BB24" s="183"/>
      <c r="BC24" s="183"/>
      <c r="BD24" s="183"/>
      <c r="BE24" s="183"/>
      <c r="BF24" s="183"/>
    </row>
    <row r="25" spans="2:58" ht="14.25" x14ac:dyDescent="0.2">
      <c r="B25" s="225"/>
      <c r="C25" s="244" t="s">
        <v>320</v>
      </c>
      <c r="D25" s="226" t="s">
        <v>431</v>
      </c>
      <c r="E25" s="227"/>
      <c r="F25" s="227"/>
      <c r="G25" s="227"/>
      <c r="H25" s="227"/>
      <c r="I25" s="227"/>
      <c r="J25" s="227"/>
      <c r="K25" s="227"/>
      <c r="L25" s="227"/>
      <c r="M25" s="227"/>
      <c r="N25" s="227"/>
      <c r="O25" s="227"/>
      <c r="P25" s="227"/>
      <c r="Q25" s="227"/>
      <c r="R25" s="227"/>
      <c r="S25" s="227"/>
      <c r="T25" s="227"/>
      <c r="U25" s="227"/>
      <c r="V25" s="227"/>
      <c r="W25" s="228"/>
      <c r="X25" s="228"/>
      <c r="Y25" s="228"/>
      <c r="Z25" s="228"/>
      <c r="AA25" s="228"/>
      <c r="AB25" s="228"/>
      <c r="AC25" s="228"/>
      <c r="AD25" s="228"/>
      <c r="AE25" s="228"/>
      <c r="AF25" s="228"/>
      <c r="AG25" s="228"/>
      <c r="AH25" s="228"/>
      <c r="AI25" s="228"/>
      <c r="AJ25" s="228"/>
      <c r="AK25" s="228"/>
      <c r="AL25" s="228"/>
      <c r="AM25" s="228"/>
      <c r="AN25" s="228"/>
      <c r="AO25" s="183"/>
      <c r="AP25" s="183"/>
      <c r="AQ25" s="183"/>
      <c r="AR25" s="183"/>
      <c r="AS25" s="183"/>
      <c r="AT25" s="183"/>
      <c r="AU25" s="183"/>
      <c r="AV25" s="183"/>
      <c r="AW25" s="183"/>
      <c r="AX25" s="183"/>
      <c r="AY25" s="183"/>
      <c r="AZ25" s="183"/>
      <c r="BA25" s="183"/>
      <c r="BB25" s="183"/>
      <c r="BC25" s="183"/>
      <c r="BD25" s="183"/>
      <c r="BE25" s="183"/>
      <c r="BF25" s="183"/>
    </row>
    <row r="26" spans="2:58" ht="14.25" x14ac:dyDescent="0.2">
      <c r="B26" s="225"/>
      <c r="C26" s="244" t="s">
        <v>321</v>
      </c>
      <c r="D26" s="226" t="s">
        <v>431</v>
      </c>
      <c r="E26" s="227"/>
      <c r="F26" s="227"/>
      <c r="G26" s="227"/>
      <c r="H26" s="227"/>
      <c r="I26" s="227"/>
      <c r="J26" s="227"/>
      <c r="K26" s="227"/>
      <c r="L26" s="227"/>
      <c r="M26" s="227"/>
      <c r="N26" s="227"/>
      <c r="O26" s="227"/>
      <c r="P26" s="227"/>
      <c r="Q26" s="227"/>
      <c r="R26" s="227"/>
      <c r="S26" s="227"/>
      <c r="T26" s="227"/>
      <c r="U26" s="227"/>
      <c r="V26" s="227"/>
      <c r="W26" s="228"/>
      <c r="X26" s="228"/>
      <c r="Y26" s="228"/>
      <c r="Z26" s="228"/>
      <c r="AA26" s="228"/>
      <c r="AB26" s="228"/>
      <c r="AC26" s="228"/>
      <c r="AD26" s="228"/>
      <c r="AE26" s="228"/>
      <c r="AF26" s="228"/>
      <c r="AG26" s="228"/>
      <c r="AH26" s="228"/>
      <c r="AI26" s="228"/>
      <c r="AJ26" s="228"/>
      <c r="AK26" s="228"/>
      <c r="AL26" s="228"/>
      <c r="AM26" s="228"/>
      <c r="AN26" s="228"/>
      <c r="AO26" s="183"/>
      <c r="AP26" s="183"/>
      <c r="AQ26" s="183"/>
      <c r="AR26" s="183"/>
      <c r="AS26" s="183"/>
      <c r="AT26" s="183"/>
      <c r="AU26" s="183"/>
      <c r="AV26" s="183"/>
      <c r="AW26" s="183"/>
      <c r="AX26" s="183"/>
      <c r="AY26" s="183"/>
      <c r="AZ26" s="183"/>
      <c r="BA26" s="183"/>
      <c r="BB26" s="183"/>
      <c r="BC26" s="183"/>
      <c r="BD26" s="183"/>
      <c r="BE26" s="183"/>
      <c r="BF26" s="183"/>
    </row>
    <row r="27" spans="2:58" ht="14.25" x14ac:dyDescent="0.2">
      <c r="B27" s="225"/>
      <c r="C27" s="244" t="s">
        <v>9</v>
      </c>
      <c r="D27" s="226" t="s">
        <v>431</v>
      </c>
      <c r="E27" s="227"/>
      <c r="F27" s="227"/>
      <c r="G27" s="227"/>
      <c r="H27" s="227"/>
      <c r="I27" s="227"/>
      <c r="J27" s="227"/>
      <c r="K27" s="227"/>
      <c r="L27" s="227"/>
      <c r="M27" s="227"/>
      <c r="N27" s="227"/>
      <c r="O27" s="227"/>
      <c r="P27" s="227"/>
      <c r="Q27" s="227"/>
      <c r="R27" s="227"/>
      <c r="S27" s="227"/>
      <c r="T27" s="227"/>
      <c r="U27" s="227"/>
      <c r="V27" s="227"/>
      <c r="W27" s="228"/>
      <c r="X27" s="228"/>
      <c r="Y27" s="228"/>
      <c r="Z27" s="228"/>
      <c r="AA27" s="228"/>
      <c r="AB27" s="228"/>
      <c r="AC27" s="228"/>
      <c r="AD27" s="228"/>
      <c r="AE27" s="228"/>
      <c r="AF27" s="228"/>
      <c r="AG27" s="228"/>
      <c r="AH27" s="228"/>
      <c r="AI27" s="228"/>
      <c r="AJ27" s="228"/>
      <c r="AK27" s="228"/>
      <c r="AL27" s="228"/>
      <c r="AM27" s="228"/>
      <c r="AN27" s="228"/>
      <c r="AO27" s="183"/>
      <c r="AP27" s="183"/>
      <c r="AQ27" s="183"/>
      <c r="AR27" s="183"/>
      <c r="AS27" s="183"/>
      <c r="AT27" s="183"/>
      <c r="AU27" s="183"/>
      <c r="AV27" s="183"/>
      <c r="AW27" s="183"/>
      <c r="AX27" s="183"/>
      <c r="AY27" s="183"/>
      <c r="AZ27" s="183"/>
      <c r="BA27" s="183"/>
      <c r="BB27" s="183"/>
      <c r="BC27" s="183"/>
      <c r="BD27" s="183"/>
      <c r="BE27" s="183"/>
      <c r="BF27" s="183"/>
    </row>
    <row r="28" spans="2:58" ht="14.25" x14ac:dyDescent="0.2">
      <c r="B28" s="225">
        <v>13</v>
      </c>
      <c r="C28" s="244" t="s">
        <v>438</v>
      </c>
      <c r="D28" s="226" t="s">
        <v>431</v>
      </c>
      <c r="E28" s="227"/>
      <c r="F28" s="227"/>
      <c r="G28" s="227"/>
      <c r="H28" s="227"/>
      <c r="I28" s="227"/>
      <c r="J28" s="227"/>
      <c r="K28" s="227"/>
      <c r="L28" s="227"/>
      <c r="M28" s="227"/>
      <c r="N28" s="227"/>
      <c r="O28" s="227"/>
      <c r="P28" s="227"/>
      <c r="Q28" s="227"/>
      <c r="R28" s="227"/>
      <c r="S28" s="227"/>
      <c r="T28" s="227"/>
      <c r="U28" s="227"/>
      <c r="V28" s="227"/>
      <c r="W28" s="228"/>
      <c r="X28" s="228"/>
      <c r="Y28" s="228"/>
      <c r="Z28" s="228"/>
      <c r="AA28" s="228"/>
      <c r="AB28" s="228"/>
      <c r="AC28" s="228"/>
      <c r="AD28" s="228"/>
      <c r="AE28" s="228"/>
      <c r="AF28" s="228"/>
      <c r="AG28" s="228"/>
      <c r="AH28" s="228"/>
      <c r="AI28" s="228"/>
      <c r="AJ28" s="228"/>
      <c r="AK28" s="228"/>
      <c r="AL28" s="228"/>
      <c r="AM28" s="228"/>
      <c r="AN28" s="228"/>
      <c r="AO28" s="183"/>
      <c r="AP28" s="183"/>
      <c r="AQ28" s="183"/>
      <c r="AR28" s="183"/>
      <c r="AS28" s="183"/>
      <c r="AT28" s="183"/>
      <c r="AU28" s="183"/>
      <c r="AV28" s="183"/>
      <c r="AW28" s="183"/>
      <c r="AX28" s="183"/>
      <c r="AY28" s="183"/>
      <c r="AZ28" s="183"/>
      <c r="BA28" s="183"/>
      <c r="BB28" s="183"/>
      <c r="BC28" s="183"/>
      <c r="BD28" s="183"/>
      <c r="BE28" s="183"/>
      <c r="BF28" s="183"/>
    </row>
    <row r="29" spans="2:58" ht="14.25" x14ac:dyDescent="0.2">
      <c r="B29" s="225">
        <v>14</v>
      </c>
      <c r="C29" s="244" t="s">
        <v>323</v>
      </c>
      <c r="D29" s="226" t="s">
        <v>431</v>
      </c>
      <c r="E29" s="227"/>
      <c r="F29" s="227"/>
      <c r="G29" s="227"/>
      <c r="H29" s="227"/>
      <c r="I29" s="227"/>
      <c r="J29" s="227"/>
      <c r="K29" s="227"/>
      <c r="L29" s="227"/>
      <c r="M29" s="227"/>
      <c r="N29" s="227"/>
      <c r="O29" s="227"/>
      <c r="P29" s="227"/>
      <c r="Q29" s="227"/>
      <c r="R29" s="227"/>
      <c r="S29" s="227"/>
      <c r="T29" s="227"/>
      <c r="U29" s="227"/>
      <c r="V29" s="227"/>
      <c r="W29" s="228"/>
      <c r="X29" s="228"/>
      <c r="Y29" s="228"/>
      <c r="Z29" s="228"/>
      <c r="AA29" s="228"/>
      <c r="AB29" s="228"/>
      <c r="AC29" s="228"/>
      <c r="AD29" s="228"/>
      <c r="AE29" s="228"/>
      <c r="AF29" s="228"/>
      <c r="AG29" s="228"/>
      <c r="AH29" s="228"/>
      <c r="AI29" s="228"/>
      <c r="AJ29" s="228"/>
      <c r="AK29" s="228"/>
      <c r="AL29" s="228"/>
      <c r="AM29" s="228"/>
      <c r="AN29" s="228"/>
      <c r="AO29" s="183"/>
      <c r="AP29" s="183"/>
      <c r="AQ29" s="183"/>
      <c r="AR29" s="183"/>
      <c r="AS29" s="183"/>
      <c r="AT29" s="183"/>
      <c r="AU29" s="183"/>
      <c r="AV29" s="183"/>
      <c r="AW29" s="183"/>
      <c r="AX29" s="183"/>
      <c r="AY29" s="183"/>
      <c r="AZ29" s="183"/>
      <c r="BA29" s="183"/>
      <c r="BB29" s="183"/>
      <c r="BC29" s="183"/>
      <c r="BD29" s="183"/>
      <c r="BE29" s="183"/>
      <c r="BF29" s="183"/>
    </row>
    <row r="30" spans="2:58" ht="31.5" customHeight="1" x14ac:dyDescent="0.2">
      <c r="B30" s="225">
        <v>15</v>
      </c>
      <c r="C30" s="244" t="s">
        <v>439</v>
      </c>
      <c r="D30" s="226" t="s">
        <v>431</v>
      </c>
      <c r="E30" s="227"/>
      <c r="F30" s="227"/>
      <c r="G30" s="227"/>
      <c r="H30" s="227"/>
      <c r="I30" s="227"/>
      <c r="J30" s="227"/>
      <c r="K30" s="227"/>
      <c r="L30" s="227"/>
      <c r="M30" s="227"/>
      <c r="N30" s="227"/>
      <c r="O30" s="227"/>
      <c r="P30" s="227"/>
      <c r="Q30" s="227"/>
      <c r="R30" s="227"/>
      <c r="S30" s="227"/>
      <c r="T30" s="227"/>
      <c r="U30" s="227"/>
      <c r="V30" s="227"/>
      <c r="W30" s="228"/>
      <c r="X30" s="228"/>
      <c r="Y30" s="228"/>
      <c r="Z30" s="228"/>
      <c r="AA30" s="228"/>
      <c r="AB30" s="228"/>
      <c r="AC30" s="228"/>
      <c r="AD30" s="228"/>
      <c r="AE30" s="228"/>
      <c r="AF30" s="228"/>
      <c r="AG30" s="228"/>
      <c r="AH30" s="228"/>
      <c r="AI30" s="228"/>
      <c r="AJ30" s="228"/>
      <c r="AK30" s="228"/>
      <c r="AL30" s="228"/>
      <c r="AM30" s="228"/>
      <c r="AN30" s="228"/>
      <c r="AO30" s="183"/>
      <c r="AP30" s="183"/>
      <c r="AQ30" s="183"/>
      <c r="AR30" s="183"/>
      <c r="AS30" s="183"/>
      <c r="AT30" s="183"/>
      <c r="AU30" s="183"/>
      <c r="AV30" s="183"/>
      <c r="AW30" s="183"/>
      <c r="AX30" s="183"/>
      <c r="AY30" s="183"/>
      <c r="AZ30" s="183"/>
      <c r="BA30" s="183"/>
      <c r="BB30" s="183"/>
      <c r="BC30" s="183"/>
      <c r="BD30" s="183"/>
      <c r="BE30" s="183"/>
      <c r="BF30" s="183"/>
    </row>
    <row r="31" spans="2:58" ht="14.25" x14ac:dyDescent="0.2">
      <c r="B31" s="225">
        <v>16</v>
      </c>
      <c r="C31" s="244" t="s">
        <v>324</v>
      </c>
      <c r="D31" s="226" t="s">
        <v>431</v>
      </c>
      <c r="E31" s="227">
        <f>E24+E25+E26+E27+E28+E29+E30</f>
        <v>0</v>
      </c>
      <c r="F31" s="227">
        <f t="shared" ref="F31:BF31" si="3">F24+F25+F26+F27+F28+F29+F30</f>
        <v>0</v>
      </c>
      <c r="G31" s="227">
        <f t="shared" si="3"/>
        <v>0</v>
      </c>
      <c r="H31" s="227">
        <f t="shared" si="3"/>
        <v>0</v>
      </c>
      <c r="I31" s="227">
        <f t="shared" si="3"/>
        <v>0</v>
      </c>
      <c r="J31" s="227">
        <f t="shared" si="3"/>
        <v>0</v>
      </c>
      <c r="K31" s="227">
        <f t="shared" si="3"/>
        <v>0</v>
      </c>
      <c r="L31" s="227">
        <f t="shared" si="3"/>
        <v>0</v>
      </c>
      <c r="M31" s="227">
        <f t="shared" si="3"/>
        <v>0</v>
      </c>
      <c r="N31" s="227">
        <f t="shared" si="3"/>
        <v>0</v>
      </c>
      <c r="O31" s="227">
        <f t="shared" si="3"/>
        <v>0</v>
      </c>
      <c r="P31" s="227">
        <f t="shared" si="3"/>
        <v>0</v>
      </c>
      <c r="Q31" s="227">
        <f t="shared" si="3"/>
        <v>0</v>
      </c>
      <c r="R31" s="227">
        <f t="shared" si="3"/>
        <v>0</v>
      </c>
      <c r="S31" s="227">
        <f t="shared" si="3"/>
        <v>0</v>
      </c>
      <c r="T31" s="227">
        <f t="shared" si="3"/>
        <v>0</v>
      </c>
      <c r="U31" s="227">
        <f t="shared" si="3"/>
        <v>0</v>
      </c>
      <c r="V31" s="227">
        <f t="shared" si="3"/>
        <v>0</v>
      </c>
      <c r="W31" s="227">
        <f t="shared" si="3"/>
        <v>0</v>
      </c>
      <c r="X31" s="227">
        <f t="shared" si="3"/>
        <v>0</v>
      </c>
      <c r="Y31" s="227">
        <f t="shared" si="3"/>
        <v>0</v>
      </c>
      <c r="Z31" s="227">
        <f t="shared" si="3"/>
        <v>0</v>
      </c>
      <c r="AA31" s="227">
        <f t="shared" si="3"/>
        <v>0</v>
      </c>
      <c r="AB31" s="227">
        <f t="shared" si="3"/>
        <v>0</v>
      </c>
      <c r="AC31" s="227">
        <f t="shared" si="3"/>
        <v>0</v>
      </c>
      <c r="AD31" s="227">
        <f t="shared" si="3"/>
        <v>0</v>
      </c>
      <c r="AE31" s="227">
        <f t="shared" si="3"/>
        <v>0</v>
      </c>
      <c r="AF31" s="227">
        <f t="shared" si="3"/>
        <v>0</v>
      </c>
      <c r="AG31" s="227">
        <f t="shared" si="3"/>
        <v>0</v>
      </c>
      <c r="AH31" s="227">
        <f t="shared" si="3"/>
        <v>0</v>
      </c>
      <c r="AI31" s="227">
        <f t="shared" si="3"/>
        <v>0</v>
      </c>
      <c r="AJ31" s="227">
        <f t="shared" si="3"/>
        <v>0</v>
      </c>
      <c r="AK31" s="227">
        <f t="shared" si="3"/>
        <v>0</v>
      </c>
      <c r="AL31" s="227">
        <f t="shared" si="3"/>
        <v>0</v>
      </c>
      <c r="AM31" s="227">
        <f t="shared" si="3"/>
        <v>0</v>
      </c>
      <c r="AN31" s="227">
        <f t="shared" si="3"/>
        <v>0</v>
      </c>
      <c r="AO31" s="227">
        <f t="shared" si="3"/>
        <v>0</v>
      </c>
      <c r="AP31" s="227">
        <f t="shared" si="3"/>
        <v>0</v>
      </c>
      <c r="AQ31" s="227">
        <f t="shared" si="3"/>
        <v>0</v>
      </c>
      <c r="AR31" s="227">
        <f t="shared" si="3"/>
        <v>0</v>
      </c>
      <c r="AS31" s="227">
        <f t="shared" si="3"/>
        <v>0</v>
      </c>
      <c r="AT31" s="227">
        <f t="shared" si="3"/>
        <v>0</v>
      </c>
      <c r="AU31" s="227">
        <f t="shared" si="3"/>
        <v>0</v>
      </c>
      <c r="AV31" s="227">
        <f t="shared" si="3"/>
        <v>0</v>
      </c>
      <c r="AW31" s="227">
        <f t="shared" si="3"/>
        <v>0</v>
      </c>
      <c r="AX31" s="227">
        <f t="shared" si="3"/>
        <v>0</v>
      </c>
      <c r="AY31" s="227">
        <f t="shared" si="3"/>
        <v>0</v>
      </c>
      <c r="AZ31" s="227">
        <f t="shared" si="3"/>
        <v>0</v>
      </c>
      <c r="BA31" s="227">
        <f t="shared" si="3"/>
        <v>0</v>
      </c>
      <c r="BB31" s="227">
        <f t="shared" si="3"/>
        <v>0</v>
      </c>
      <c r="BC31" s="227">
        <f t="shared" si="3"/>
        <v>0</v>
      </c>
      <c r="BD31" s="227">
        <f t="shared" si="3"/>
        <v>0</v>
      </c>
      <c r="BE31" s="227">
        <f t="shared" si="3"/>
        <v>0</v>
      </c>
      <c r="BF31" s="227">
        <f t="shared" si="3"/>
        <v>0</v>
      </c>
    </row>
    <row r="32" spans="2:58" ht="28.5" x14ac:dyDescent="0.2">
      <c r="B32" s="225">
        <v>17</v>
      </c>
      <c r="C32" s="244" t="s">
        <v>440</v>
      </c>
      <c r="D32" s="226" t="s">
        <v>431</v>
      </c>
      <c r="E32" s="227">
        <f>E21+E31</f>
        <v>0</v>
      </c>
      <c r="F32" s="227">
        <f t="shared" ref="F32:BF32" si="4">F21+F31</f>
        <v>0</v>
      </c>
      <c r="G32" s="227">
        <f t="shared" si="4"/>
        <v>0</v>
      </c>
      <c r="H32" s="227">
        <f t="shared" si="4"/>
        <v>0</v>
      </c>
      <c r="I32" s="227">
        <f t="shared" si="4"/>
        <v>0</v>
      </c>
      <c r="J32" s="227">
        <f t="shared" si="4"/>
        <v>0</v>
      </c>
      <c r="K32" s="227">
        <f t="shared" si="4"/>
        <v>0</v>
      </c>
      <c r="L32" s="227">
        <f t="shared" si="4"/>
        <v>0</v>
      </c>
      <c r="M32" s="227">
        <f t="shared" si="4"/>
        <v>0</v>
      </c>
      <c r="N32" s="227">
        <f t="shared" si="4"/>
        <v>0</v>
      </c>
      <c r="O32" s="227">
        <f t="shared" si="4"/>
        <v>0</v>
      </c>
      <c r="P32" s="227">
        <f t="shared" si="4"/>
        <v>0</v>
      </c>
      <c r="Q32" s="227">
        <f t="shared" si="4"/>
        <v>0</v>
      </c>
      <c r="R32" s="227">
        <f t="shared" si="4"/>
        <v>0</v>
      </c>
      <c r="S32" s="227">
        <f t="shared" si="4"/>
        <v>0</v>
      </c>
      <c r="T32" s="227">
        <f t="shared" si="4"/>
        <v>0</v>
      </c>
      <c r="U32" s="227">
        <f t="shared" si="4"/>
        <v>0</v>
      </c>
      <c r="V32" s="227">
        <f t="shared" si="4"/>
        <v>0</v>
      </c>
      <c r="W32" s="227">
        <f t="shared" si="4"/>
        <v>0</v>
      </c>
      <c r="X32" s="227">
        <f t="shared" si="4"/>
        <v>0</v>
      </c>
      <c r="Y32" s="227">
        <f t="shared" si="4"/>
        <v>0</v>
      </c>
      <c r="Z32" s="227">
        <f t="shared" si="4"/>
        <v>0</v>
      </c>
      <c r="AA32" s="227">
        <f t="shared" si="4"/>
        <v>0</v>
      </c>
      <c r="AB32" s="227">
        <f t="shared" si="4"/>
        <v>0</v>
      </c>
      <c r="AC32" s="227">
        <f t="shared" si="4"/>
        <v>0</v>
      </c>
      <c r="AD32" s="227">
        <f t="shared" si="4"/>
        <v>0</v>
      </c>
      <c r="AE32" s="227">
        <f t="shared" si="4"/>
        <v>0</v>
      </c>
      <c r="AF32" s="227">
        <f t="shared" si="4"/>
        <v>0</v>
      </c>
      <c r="AG32" s="227">
        <f t="shared" si="4"/>
        <v>0</v>
      </c>
      <c r="AH32" s="227">
        <f t="shared" si="4"/>
        <v>0</v>
      </c>
      <c r="AI32" s="227">
        <f t="shared" si="4"/>
        <v>1.5504008</v>
      </c>
      <c r="AJ32" s="227">
        <f t="shared" si="4"/>
        <v>0.77147719999999997</v>
      </c>
      <c r="AK32" s="227">
        <f t="shared" si="4"/>
        <v>0</v>
      </c>
      <c r="AL32" s="227">
        <f t="shared" si="4"/>
        <v>0.62141210000000002</v>
      </c>
      <c r="AM32" s="227">
        <f t="shared" si="4"/>
        <v>0</v>
      </c>
      <c r="AN32" s="227">
        <f t="shared" si="4"/>
        <v>0</v>
      </c>
      <c r="AO32" s="227">
        <f t="shared" si="4"/>
        <v>0</v>
      </c>
      <c r="AP32" s="227">
        <f t="shared" si="4"/>
        <v>0.69777370000000005</v>
      </c>
      <c r="AQ32" s="227">
        <f t="shared" si="4"/>
        <v>0</v>
      </c>
      <c r="AR32" s="227">
        <f t="shared" si="4"/>
        <v>0</v>
      </c>
      <c r="AS32" s="227">
        <f t="shared" si="4"/>
        <v>0</v>
      </c>
      <c r="AT32" s="227">
        <f t="shared" si="4"/>
        <v>0</v>
      </c>
      <c r="AU32" s="227">
        <f t="shared" si="4"/>
        <v>0</v>
      </c>
      <c r="AV32" s="227">
        <f t="shared" si="4"/>
        <v>0</v>
      </c>
      <c r="AW32" s="227">
        <f t="shared" si="4"/>
        <v>0</v>
      </c>
      <c r="AX32" s="227">
        <f t="shared" si="4"/>
        <v>2.9424491000000002</v>
      </c>
      <c r="AY32" s="227">
        <f t="shared" si="4"/>
        <v>2.5048864000000002</v>
      </c>
      <c r="AZ32" s="227">
        <f t="shared" si="4"/>
        <v>0</v>
      </c>
      <c r="BA32" s="227">
        <f t="shared" si="4"/>
        <v>1.4921525</v>
      </c>
      <c r="BB32" s="227">
        <f t="shared" si="4"/>
        <v>0</v>
      </c>
      <c r="BC32" s="227">
        <f t="shared" si="4"/>
        <v>0</v>
      </c>
      <c r="BD32" s="227">
        <f t="shared" si="4"/>
        <v>1.0032093</v>
      </c>
      <c r="BE32" s="227">
        <f t="shared" si="4"/>
        <v>0.3615331</v>
      </c>
      <c r="BF32" s="227">
        <f t="shared" si="4"/>
        <v>0</v>
      </c>
    </row>
    <row r="33" spans="2:58" ht="15" x14ac:dyDescent="0.2">
      <c r="B33" s="220" t="s">
        <v>326</v>
      </c>
      <c r="C33" s="301" t="s">
        <v>189</v>
      </c>
      <c r="D33" s="226"/>
      <c r="E33" s="227"/>
      <c r="F33" s="227"/>
      <c r="G33" s="227"/>
      <c r="H33" s="227"/>
      <c r="I33" s="227"/>
      <c r="J33" s="227"/>
      <c r="K33" s="227"/>
      <c r="L33" s="227"/>
      <c r="M33" s="227"/>
      <c r="N33" s="227"/>
      <c r="O33" s="227"/>
      <c r="P33" s="227"/>
      <c r="Q33" s="227"/>
      <c r="R33" s="227"/>
      <c r="S33" s="227"/>
      <c r="T33" s="227"/>
      <c r="U33" s="227"/>
      <c r="V33" s="227"/>
      <c r="W33" s="228"/>
      <c r="X33" s="228"/>
      <c r="Y33" s="228"/>
      <c r="Z33" s="228"/>
      <c r="AA33" s="228"/>
      <c r="AB33" s="228"/>
      <c r="AC33" s="228"/>
      <c r="AD33" s="228"/>
      <c r="AE33" s="228"/>
      <c r="AF33" s="228"/>
      <c r="AG33" s="228"/>
      <c r="AH33" s="228"/>
      <c r="AI33" s="228"/>
      <c r="AJ33" s="228"/>
      <c r="AK33" s="228"/>
      <c r="AL33" s="228"/>
      <c r="AM33" s="228"/>
      <c r="AN33" s="228"/>
      <c r="AO33" s="183"/>
      <c r="AP33" s="183"/>
      <c r="AQ33" s="183"/>
      <c r="AR33" s="183"/>
      <c r="AS33" s="183"/>
      <c r="AT33" s="183"/>
      <c r="AU33" s="183"/>
      <c r="AV33" s="183"/>
      <c r="AW33" s="183"/>
      <c r="AX33" s="183"/>
      <c r="AY33" s="183"/>
      <c r="AZ33" s="183"/>
      <c r="BA33" s="183"/>
      <c r="BB33" s="183"/>
      <c r="BC33" s="183"/>
      <c r="BD33" s="183"/>
      <c r="BE33" s="183"/>
      <c r="BF33" s="183"/>
    </row>
    <row r="34" spans="2:58" s="303" customFormat="1" ht="14.25" x14ac:dyDescent="0.2">
      <c r="B34" s="225">
        <v>18</v>
      </c>
      <c r="C34" s="244" t="s">
        <v>441</v>
      </c>
      <c r="D34" s="226" t="s">
        <v>442</v>
      </c>
      <c r="E34" s="227">
        <f>(E10+E32)/(E9+E16)*10000000</f>
        <v>59165.988100714327</v>
      </c>
      <c r="F34" s="227">
        <f t="shared" ref="F34:BF34" si="5">(F10+F32)/(F9+F16)*10000000</f>
        <v>86971.06622500089</v>
      </c>
      <c r="G34" s="227">
        <f t="shared" si="5"/>
        <v>70604.463023894685</v>
      </c>
      <c r="H34" s="227">
        <f t="shared" si="5"/>
        <v>59165.988100714319</v>
      </c>
      <c r="I34" s="227">
        <f t="shared" si="5"/>
        <v>86971.06622500089</v>
      </c>
      <c r="J34" s="227">
        <f t="shared" si="5"/>
        <v>70604.463023894685</v>
      </c>
      <c r="K34" s="227">
        <f t="shared" si="5"/>
        <v>59165.988100714319</v>
      </c>
      <c r="L34" s="227">
        <f t="shared" si="5"/>
        <v>86971.06622500089</v>
      </c>
      <c r="M34" s="227">
        <f t="shared" si="5"/>
        <v>70604.463023894685</v>
      </c>
      <c r="N34" s="227">
        <f t="shared" si="5"/>
        <v>59165.988100714312</v>
      </c>
      <c r="O34" s="227">
        <f t="shared" si="5"/>
        <v>86971.06622500089</v>
      </c>
      <c r="P34" s="227">
        <f t="shared" si="5"/>
        <v>70604.463023894685</v>
      </c>
      <c r="Q34" s="227">
        <f t="shared" si="5"/>
        <v>59165.988100714312</v>
      </c>
      <c r="R34" s="227">
        <f t="shared" si="5"/>
        <v>86971.06622500089</v>
      </c>
      <c r="S34" s="227">
        <f t="shared" si="5"/>
        <v>70604.463023894685</v>
      </c>
      <c r="T34" s="227">
        <f t="shared" si="5"/>
        <v>59165.988100714312</v>
      </c>
      <c r="U34" s="227">
        <f t="shared" si="5"/>
        <v>86971.06622500089</v>
      </c>
      <c r="V34" s="227">
        <f t="shared" si="5"/>
        <v>70604.463023894685</v>
      </c>
      <c r="W34" s="227">
        <f t="shared" si="5"/>
        <v>59165.988100714312</v>
      </c>
      <c r="X34" s="227">
        <f t="shared" si="5"/>
        <v>86971.066225000875</v>
      </c>
      <c r="Y34" s="227">
        <f t="shared" si="5"/>
        <v>70604.463023894685</v>
      </c>
      <c r="Z34" s="227">
        <f t="shared" si="5"/>
        <v>59165.988100714305</v>
      </c>
      <c r="AA34" s="227">
        <f t="shared" si="5"/>
        <v>86971.066225000875</v>
      </c>
      <c r="AB34" s="227">
        <f t="shared" si="5"/>
        <v>70604.463023894685</v>
      </c>
      <c r="AC34" s="227">
        <f t="shared" si="5"/>
        <v>59165.988100714298</v>
      </c>
      <c r="AD34" s="227">
        <f t="shared" si="5"/>
        <v>86971.066225000875</v>
      </c>
      <c r="AE34" s="227">
        <f t="shared" si="5"/>
        <v>70604.463023894685</v>
      </c>
      <c r="AF34" s="227">
        <f t="shared" si="5"/>
        <v>59165.988100714305</v>
      </c>
      <c r="AG34" s="227">
        <f t="shared" si="5"/>
        <v>86971.066225000875</v>
      </c>
      <c r="AH34" s="227">
        <f t="shared" si="5"/>
        <v>70604.463023894685</v>
      </c>
      <c r="AI34" s="227">
        <f t="shared" si="5"/>
        <v>60033.049508518794</v>
      </c>
      <c r="AJ34" s="227">
        <f t="shared" si="5"/>
        <v>84220.533276611866</v>
      </c>
      <c r="AK34" s="227">
        <f t="shared" si="5"/>
        <v>70604.463023894685</v>
      </c>
      <c r="AL34" s="227">
        <f t="shared" si="5"/>
        <v>60323.521961638187</v>
      </c>
      <c r="AM34" s="227">
        <f t="shared" si="5"/>
        <v>84220.533276611866</v>
      </c>
      <c r="AN34" s="227">
        <f t="shared" si="5"/>
        <v>70604.463023894685</v>
      </c>
      <c r="AO34" s="227">
        <f t="shared" si="5"/>
        <v>60323.521961638115</v>
      </c>
      <c r="AP34" s="227">
        <f t="shared" si="5"/>
        <v>79429.541290377892</v>
      </c>
      <c r="AQ34" s="227">
        <f t="shared" si="5"/>
        <v>70604.463023894685</v>
      </c>
      <c r="AR34" s="227">
        <f t="shared" si="5"/>
        <v>60323.521961638122</v>
      </c>
      <c r="AS34" s="227">
        <f t="shared" si="5"/>
        <v>79429.541290377892</v>
      </c>
      <c r="AT34" s="227">
        <f t="shared" si="5"/>
        <v>70604.463023894685</v>
      </c>
      <c r="AU34" s="227">
        <f t="shared" si="5"/>
        <v>60323.521961638122</v>
      </c>
      <c r="AV34" s="227">
        <f t="shared" si="5"/>
        <v>79429.541290377892</v>
      </c>
      <c r="AW34" s="227">
        <f t="shared" si="5"/>
        <v>70604.463023894685</v>
      </c>
      <c r="AX34" s="227">
        <f t="shared" si="5"/>
        <v>60341.577167077012</v>
      </c>
      <c r="AY34" s="227">
        <f t="shared" si="5"/>
        <v>75799.449373797062</v>
      </c>
      <c r="AZ34" s="227">
        <f t="shared" si="5"/>
        <v>70604.463023894685</v>
      </c>
      <c r="BA34" s="227">
        <f t="shared" si="5"/>
        <v>60224.493649401695</v>
      </c>
      <c r="BB34" s="227">
        <f t="shared" si="5"/>
        <v>75799.449373797062</v>
      </c>
      <c r="BC34" s="227">
        <f t="shared" si="5"/>
        <v>70604.463023894685</v>
      </c>
      <c r="BD34" s="227">
        <f t="shared" si="5"/>
        <v>60043.168558185491</v>
      </c>
      <c r="BE34" s="227">
        <f t="shared" si="5"/>
        <v>75740.871284891706</v>
      </c>
      <c r="BF34" s="227">
        <f t="shared" si="5"/>
        <v>70604.463023894685</v>
      </c>
    </row>
    <row r="35" spans="2:58" ht="14.25" x14ac:dyDescent="0.2">
      <c r="B35" s="225">
        <v>19</v>
      </c>
      <c r="C35" s="244" t="s">
        <v>329</v>
      </c>
      <c r="D35" s="226"/>
      <c r="E35" s="230"/>
      <c r="F35" s="230"/>
      <c r="G35" s="230"/>
      <c r="H35" s="230"/>
      <c r="I35" s="230"/>
      <c r="J35" s="230"/>
      <c r="K35" s="230"/>
      <c r="L35" s="230"/>
      <c r="M35" s="230"/>
      <c r="N35" s="230"/>
      <c r="O35" s="230"/>
      <c r="P35" s="230"/>
      <c r="Q35" s="230"/>
      <c r="R35" s="230"/>
      <c r="S35" s="230"/>
      <c r="T35" s="230"/>
      <c r="U35" s="230"/>
      <c r="V35" s="230"/>
      <c r="W35" s="231"/>
      <c r="X35" s="231"/>
      <c r="Y35" s="231"/>
      <c r="Z35" s="231"/>
      <c r="AA35" s="231"/>
      <c r="AB35" s="231"/>
      <c r="AC35" s="231"/>
      <c r="AD35" s="231"/>
      <c r="AE35" s="231"/>
      <c r="AF35" s="231"/>
      <c r="AG35" s="231"/>
      <c r="AH35" s="231"/>
      <c r="AI35" s="231"/>
      <c r="AJ35" s="231"/>
      <c r="AK35" s="231"/>
      <c r="AL35" s="231"/>
      <c r="AM35" s="231"/>
      <c r="AN35" s="231"/>
      <c r="AO35" s="183"/>
      <c r="AP35" s="183"/>
      <c r="AQ35" s="183"/>
      <c r="AR35" s="183"/>
      <c r="AS35" s="183"/>
      <c r="AT35" s="183"/>
      <c r="AU35" s="183"/>
      <c r="AV35" s="183"/>
      <c r="AW35" s="183"/>
      <c r="AX35" s="183"/>
      <c r="AY35" s="183"/>
      <c r="AZ35" s="183"/>
      <c r="BA35" s="183"/>
      <c r="BB35" s="183"/>
      <c r="BC35" s="183"/>
      <c r="BD35" s="183"/>
      <c r="BE35" s="183"/>
      <c r="BF35" s="183"/>
    </row>
    <row r="36" spans="2:58" ht="14.25" x14ac:dyDescent="0.2">
      <c r="B36" s="225">
        <v>20</v>
      </c>
      <c r="C36" s="244" t="s">
        <v>443</v>
      </c>
      <c r="D36" s="226" t="s">
        <v>442</v>
      </c>
      <c r="E36" s="232"/>
      <c r="F36" s="232"/>
      <c r="G36" s="232"/>
      <c r="H36" s="232"/>
      <c r="I36" s="232"/>
      <c r="J36" s="232"/>
      <c r="K36" s="233"/>
      <c r="L36" s="233"/>
      <c r="M36" s="233"/>
      <c r="N36" s="233"/>
      <c r="O36" s="233"/>
      <c r="P36" s="233"/>
      <c r="Q36" s="233"/>
      <c r="R36" s="233"/>
      <c r="S36" s="233"/>
      <c r="T36" s="233"/>
      <c r="U36" s="233"/>
      <c r="V36" s="233"/>
      <c r="W36" s="183"/>
      <c r="X36" s="183"/>
      <c r="Y36" s="183"/>
      <c r="Z36" s="183"/>
      <c r="AA36" s="183"/>
      <c r="AB36" s="183"/>
      <c r="AC36" s="183"/>
      <c r="AD36" s="183"/>
      <c r="AE36" s="183"/>
      <c r="AF36" s="183"/>
      <c r="AG36" s="183"/>
      <c r="AH36" s="183"/>
      <c r="AI36" s="183"/>
      <c r="AJ36" s="183"/>
      <c r="AK36" s="183"/>
      <c r="AL36" s="183"/>
      <c r="AM36" s="183"/>
      <c r="AN36" s="183"/>
      <c r="AO36" s="183"/>
      <c r="AP36" s="183"/>
      <c r="AQ36" s="183"/>
      <c r="AR36" s="183"/>
      <c r="AS36" s="183"/>
      <c r="AT36" s="183"/>
      <c r="AU36" s="183"/>
      <c r="AV36" s="183"/>
      <c r="AW36" s="183"/>
      <c r="AX36" s="183"/>
      <c r="AY36" s="183"/>
      <c r="AZ36" s="183"/>
      <c r="BA36" s="183"/>
      <c r="BB36" s="183"/>
      <c r="BC36" s="183"/>
      <c r="BD36" s="183"/>
      <c r="BE36" s="183"/>
      <c r="BF36" s="183"/>
    </row>
    <row r="37" spans="2:58" ht="15" x14ac:dyDescent="0.2">
      <c r="B37" s="220" t="s">
        <v>331</v>
      </c>
      <c r="C37" s="301" t="s">
        <v>332</v>
      </c>
      <c r="D37" s="226"/>
      <c r="E37" s="232"/>
      <c r="F37" s="232"/>
      <c r="G37" s="232"/>
      <c r="H37" s="232"/>
      <c r="I37" s="232"/>
      <c r="J37" s="232"/>
      <c r="K37" s="233"/>
      <c r="L37" s="233"/>
      <c r="M37" s="233"/>
      <c r="N37" s="233"/>
      <c r="O37" s="233"/>
      <c r="P37" s="233"/>
      <c r="Q37" s="233"/>
      <c r="R37" s="233"/>
      <c r="S37" s="233"/>
      <c r="T37" s="233"/>
      <c r="U37" s="233"/>
      <c r="V37" s="233"/>
      <c r="W37" s="183"/>
      <c r="X37" s="183"/>
      <c r="Y37" s="183"/>
      <c r="Z37" s="183"/>
      <c r="AA37" s="183"/>
      <c r="AB37" s="183"/>
      <c r="AC37" s="183"/>
      <c r="AD37" s="183"/>
      <c r="AE37" s="183"/>
      <c r="AF37" s="183"/>
      <c r="AG37" s="183"/>
      <c r="AH37" s="183"/>
      <c r="AI37" s="183"/>
      <c r="AJ37" s="183"/>
      <c r="AK37" s="183"/>
      <c r="AL37" s="183"/>
      <c r="AM37" s="183"/>
      <c r="AN37" s="183"/>
      <c r="AO37" s="183"/>
      <c r="AP37" s="183"/>
      <c r="AQ37" s="183"/>
      <c r="AR37" s="183"/>
      <c r="AS37" s="183"/>
      <c r="AT37" s="183"/>
      <c r="AU37" s="183"/>
      <c r="AV37" s="183"/>
      <c r="AW37" s="183"/>
      <c r="AX37" s="183"/>
      <c r="AY37" s="183"/>
      <c r="AZ37" s="183"/>
      <c r="BA37" s="183"/>
      <c r="BB37" s="183"/>
      <c r="BC37" s="183"/>
      <c r="BD37" s="183"/>
      <c r="BE37" s="183"/>
      <c r="BF37" s="183"/>
    </row>
    <row r="38" spans="2:58" ht="42.75" x14ac:dyDescent="0.2">
      <c r="B38" s="225">
        <v>21</v>
      </c>
      <c r="C38" s="244" t="s">
        <v>444</v>
      </c>
      <c r="D38" s="226" t="s">
        <v>445</v>
      </c>
      <c r="E38" s="232"/>
      <c r="F38" s="232"/>
      <c r="G38" s="232"/>
      <c r="H38" s="232"/>
      <c r="I38" s="232"/>
      <c r="J38" s="232"/>
      <c r="K38" s="233"/>
      <c r="L38" s="233"/>
      <c r="M38" s="233"/>
      <c r="N38" s="233"/>
      <c r="O38" s="233"/>
      <c r="P38" s="233"/>
      <c r="Q38" s="233"/>
      <c r="R38" s="233"/>
      <c r="S38" s="233"/>
      <c r="T38" s="233"/>
      <c r="U38" s="233"/>
      <c r="V38" s="233"/>
      <c r="W38" s="183"/>
      <c r="X38" s="183"/>
      <c r="Y38" s="183"/>
      <c r="Z38" s="183"/>
      <c r="AA38" s="183"/>
      <c r="AB38" s="183"/>
      <c r="AC38" s="183"/>
      <c r="AD38" s="183"/>
      <c r="AE38" s="183"/>
      <c r="AF38" s="183"/>
      <c r="AG38" s="183"/>
      <c r="AH38" s="183"/>
      <c r="AI38" s="183"/>
      <c r="AJ38" s="183"/>
      <c r="AK38" s="183"/>
      <c r="AL38" s="183"/>
      <c r="AM38" s="183"/>
      <c r="AN38" s="183"/>
      <c r="AO38" s="183"/>
      <c r="AP38" s="183"/>
      <c r="AQ38" s="183"/>
      <c r="AR38" s="183"/>
      <c r="AS38" s="183"/>
      <c r="AT38" s="183"/>
      <c r="AU38" s="183"/>
      <c r="AV38" s="183"/>
      <c r="AW38" s="183"/>
      <c r="AX38" s="183"/>
      <c r="AY38" s="183"/>
      <c r="AZ38" s="183"/>
      <c r="BA38" s="183"/>
      <c r="BB38" s="183"/>
      <c r="BC38" s="183"/>
      <c r="BD38" s="183"/>
      <c r="BE38" s="183"/>
      <c r="BF38" s="183"/>
    </row>
    <row r="39" spans="2:58" ht="14.25" x14ac:dyDescent="0.2">
      <c r="B39" s="225">
        <v>22</v>
      </c>
      <c r="C39" s="244" t="s">
        <v>446</v>
      </c>
      <c r="D39" s="226" t="s">
        <v>445</v>
      </c>
      <c r="E39" s="232"/>
      <c r="F39" s="232"/>
      <c r="G39" s="232"/>
      <c r="H39" s="232"/>
      <c r="I39" s="232"/>
      <c r="J39" s="232"/>
      <c r="K39" s="233"/>
      <c r="L39" s="233"/>
      <c r="M39" s="233"/>
      <c r="N39" s="233"/>
      <c r="O39" s="233"/>
      <c r="P39" s="233"/>
      <c r="Q39" s="233"/>
      <c r="R39" s="233"/>
      <c r="S39" s="233"/>
      <c r="T39" s="233"/>
      <c r="U39" s="233"/>
      <c r="V39" s="233"/>
      <c r="W39" s="183"/>
      <c r="X39" s="183"/>
      <c r="Y39" s="183"/>
      <c r="Z39" s="183"/>
      <c r="AA39" s="183"/>
      <c r="AB39" s="183"/>
      <c r="AC39" s="183"/>
      <c r="AD39" s="183"/>
      <c r="AE39" s="183"/>
      <c r="AF39" s="183"/>
      <c r="AG39" s="183"/>
      <c r="AH39" s="183"/>
      <c r="AI39" s="183"/>
      <c r="AJ39" s="183"/>
      <c r="AK39" s="183"/>
      <c r="AL39" s="183"/>
      <c r="AM39" s="183"/>
      <c r="AN39" s="183"/>
      <c r="AO39" s="183"/>
      <c r="AP39" s="183"/>
      <c r="AQ39" s="183"/>
      <c r="AR39" s="183"/>
      <c r="AS39" s="183"/>
      <c r="AT39" s="183"/>
      <c r="AU39" s="183"/>
      <c r="AV39" s="183"/>
      <c r="AW39" s="183"/>
      <c r="AX39" s="183"/>
      <c r="AY39" s="183"/>
      <c r="AZ39" s="183"/>
      <c r="BA39" s="183"/>
      <c r="BB39" s="183"/>
      <c r="BC39" s="183"/>
      <c r="BD39" s="183"/>
      <c r="BE39" s="183"/>
      <c r="BF39" s="183"/>
    </row>
    <row r="40" spans="2:58" ht="28.5" x14ac:dyDescent="0.2">
      <c r="B40" s="225">
        <v>23</v>
      </c>
      <c r="C40" s="244" t="s">
        <v>447</v>
      </c>
      <c r="D40" s="226" t="s">
        <v>445</v>
      </c>
      <c r="E40" s="232"/>
      <c r="F40" s="232"/>
      <c r="G40" s="232"/>
      <c r="H40" s="232"/>
      <c r="I40" s="232"/>
      <c r="J40" s="232"/>
      <c r="K40" s="233"/>
      <c r="L40" s="233"/>
      <c r="M40" s="233"/>
      <c r="N40" s="233"/>
      <c r="O40" s="233"/>
      <c r="P40" s="233"/>
      <c r="Q40" s="233"/>
      <c r="R40" s="233"/>
      <c r="S40" s="233"/>
      <c r="T40" s="233"/>
      <c r="U40" s="233"/>
      <c r="V40" s="233"/>
      <c r="W40" s="183"/>
      <c r="X40" s="183"/>
      <c r="Y40" s="183"/>
      <c r="Z40" s="183"/>
      <c r="AA40" s="183"/>
      <c r="AB40" s="183"/>
      <c r="AC40" s="183"/>
      <c r="AD40" s="183"/>
      <c r="AE40" s="183"/>
      <c r="AF40" s="183"/>
      <c r="AG40" s="183"/>
      <c r="AH40" s="183"/>
      <c r="AI40" s="183"/>
      <c r="AJ40" s="183"/>
      <c r="AK40" s="183"/>
      <c r="AL40" s="183"/>
      <c r="AM40" s="183"/>
      <c r="AN40" s="183"/>
      <c r="AO40" s="183"/>
      <c r="AP40" s="183"/>
      <c r="AQ40" s="183"/>
      <c r="AR40" s="183"/>
      <c r="AS40" s="183"/>
      <c r="AT40" s="183"/>
      <c r="AU40" s="183"/>
      <c r="AV40" s="183"/>
      <c r="AW40" s="183"/>
      <c r="AX40" s="183"/>
      <c r="AY40" s="183"/>
      <c r="AZ40" s="183"/>
      <c r="BA40" s="183"/>
      <c r="BB40" s="183"/>
      <c r="BC40" s="183"/>
      <c r="BD40" s="183"/>
      <c r="BE40" s="183"/>
      <c r="BF40" s="183"/>
    </row>
    <row r="41" spans="2:58" ht="14.25" x14ac:dyDescent="0.2">
      <c r="B41" s="225">
        <v>24</v>
      </c>
      <c r="C41" s="244" t="s">
        <v>448</v>
      </c>
      <c r="D41" s="226" t="s">
        <v>445</v>
      </c>
      <c r="E41" s="232"/>
      <c r="F41" s="232"/>
      <c r="G41" s="232"/>
      <c r="H41" s="232"/>
      <c r="I41" s="232"/>
      <c r="J41" s="232"/>
      <c r="K41" s="233"/>
      <c r="L41" s="233"/>
      <c r="M41" s="233"/>
      <c r="N41" s="233"/>
      <c r="O41" s="233"/>
      <c r="P41" s="233"/>
      <c r="Q41" s="233"/>
      <c r="R41" s="233"/>
      <c r="S41" s="233"/>
      <c r="T41" s="233"/>
      <c r="U41" s="233"/>
      <c r="V41" s="233"/>
      <c r="W41" s="183"/>
      <c r="X41" s="183"/>
      <c r="Y41" s="183"/>
      <c r="Z41" s="183"/>
      <c r="AA41" s="183"/>
      <c r="AB41" s="183"/>
      <c r="AC41" s="183"/>
      <c r="AD41" s="183"/>
      <c r="AE41" s="183"/>
      <c r="AF41" s="183"/>
      <c r="AG41" s="183"/>
      <c r="AH41" s="183"/>
      <c r="AI41" s="183"/>
      <c r="AJ41" s="183"/>
      <c r="AK41" s="183"/>
      <c r="AL41" s="183"/>
      <c r="AM41" s="183"/>
      <c r="AN41" s="183"/>
      <c r="AO41" s="183"/>
      <c r="AP41" s="183"/>
      <c r="AQ41" s="183"/>
      <c r="AR41" s="183"/>
      <c r="AS41" s="183"/>
      <c r="AT41" s="183"/>
      <c r="AU41" s="183"/>
      <c r="AV41" s="183"/>
      <c r="AW41" s="183"/>
      <c r="AX41" s="183"/>
      <c r="AY41" s="183"/>
      <c r="AZ41" s="183"/>
      <c r="BA41" s="183"/>
      <c r="BB41" s="183"/>
      <c r="BC41" s="183"/>
      <c r="BD41" s="183"/>
      <c r="BE41" s="183"/>
      <c r="BF41" s="183"/>
    </row>
    <row r="42" spans="2:58" ht="14.25" x14ac:dyDescent="0.2">
      <c r="B42" s="225">
        <v>25</v>
      </c>
      <c r="C42" s="244" t="s">
        <v>449</v>
      </c>
      <c r="D42" s="226" t="s">
        <v>445</v>
      </c>
      <c r="E42" s="232"/>
      <c r="F42" s="232"/>
      <c r="G42" s="232"/>
      <c r="H42" s="232"/>
      <c r="I42" s="232"/>
      <c r="J42" s="232"/>
      <c r="K42" s="233"/>
      <c r="L42" s="233"/>
      <c r="M42" s="233"/>
      <c r="N42" s="233"/>
      <c r="O42" s="233"/>
      <c r="P42" s="233"/>
      <c r="Q42" s="233"/>
      <c r="R42" s="233"/>
      <c r="S42" s="233"/>
      <c r="T42" s="233"/>
      <c r="U42" s="233"/>
      <c r="V42" s="233"/>
      <c r="W42" s="183"/>
      <c r="X42" s="183"/>
      <c r="Y42" s="183"/>
      <c r="Z42" s="183"/>
      <c r="AA42" s="183"/>
      <c r="AB42" s="183"/>
      <c r="AC42" s="183"/>
      <c r="AD42" s="183"/>
      <c r="AE42" s="183"/>
      <c r="AF42" s="183"/>
      <c r="AG42" s="183"/>
      <c r="AH42" s="183"/>
      <c r="AI42" s="183"/>
      <c r="AJ42" s="183"/>
      <c r="AK42" s="183"/>
      <c r="AL42" s="183"/>
      <c r="AM42" s="183"/>
      <c r="AN42" s="183"/>
      <c r="AO42" s="183"/>
      <c r="AP42" s="183"/>
      <c r="AQ42" s="183"/>
      <c r="AR42" s="183"/>
      <c r="AS42" s="183"/>
      <c r="AT42" s="183"/>
      <c r="AU42" s="183"/>
      <c r="AV42" s="183"/>
      <c r="AW42" s="183"/>
      <c r="AX42" s="183"/>
      <c r="AY42" s="183"/>
      <c r="AZ42" s="183"/>
      <c r="BA42" s="183"/>
      <c r="BB42" s="183"/>
      <c r="BC42" s="183"/>
      <c r="BD42" s="183"/>
      <c r="BE42" s="183"/>
      <c r="BF42" s="183"/>
    </row>
    <row r="43" spans="2:58" ht="28.5" x14ac:dyDescent="0.2">
      <c r="B43" s="225">
        <v>26</v>
      </c>
      <c r="C43" s="244" t="s">
        <v>450</v>
      </c>
      <c r="D43" s="226" t="s">
        <v>445</v>
      </c>
      <c r="E43" s="232"/>
      <c r="F43" s="232"/>
      <c r="G43" s="232"/>
      <c r="H43" s="232"/>
      <c r="I43" s="232"/>
      <c r="J43" s="232"/>
      <c r="K43" s="233"/>
      <c r="L43" s="233"/>
      <c r="M43" s="233"/>
      <c r="N43" s="233"/>
      <c r="O43" s="233"/>
      <c r="P43" s="233"/>
      <c r="Q43" s="233"/>
      <c r="R43" s="233"/>
      <c r="S43" s="233"/>
      <c r="T43" s="233"/>
      <c r="U43" s="233"/>
      <c r="V43" s="233"/>
      <c r="W43" s="183"/>
      <c r="X43" s="183"/>
      <c r="Y43" s="183"/>
      <c r="Z43" s="183"/>
      <c r="AA43" s="183"/>
      <c r="AB43" s="183"/>
      <c r="AC43" s="183"/>
      <c r="AD43" s="183"/>
      <c r="AE43" s="183"/>
      <c r="AF43" s="183"/>
      <c r="AG43" s="183"/>
      <c r="AH43" s="183"/>
      <c r="AI43" s="183"/>
      <c r="AJ43" s="183"/>
      <c r="AK43" s="183"/>
      <c r="AL43" s="183"/>
      <c r="AM43" s="183"/>
      <c r="AN43" s="183"/>
      <c r="AO43" s="183"/>
      <c r="AP43" s="183"/>
      <c r="AQ43" s="183"/>
      <c r="AR43" s="183"/>
      <c r="AS43" s="183"/>
      <c r="AT43" s="183"/>
      <c r="AU43" s="183"/>
      <c r="AV43" s="183"/>
      <c r="AW43" s="183"/>
      <c r="AX43" s="183"/>
      <c r="AY43" s="183"/>
      <c r="AZ43" s="183"/>
      <c r="BA43" s="183"/>
      <c r="BB43" s="183"/>
      <c r="BC43" s="183"/>
      <c r="BD43" s="183"/>
      <c r="BE43" s="183"/>
      <c r="BF43" s="183"/>
    </row>
    <row r="44" spans="2:58" ht="25.5" customHeight="1" x14ac:dyDescent="0.2">
      <c r="B44" s="225">
        <v>27</v>
      </c>
      <c r="C44" s="244" t="s">
        <v>451</v>
      </c>
      <c r="D44" s="226" t="s">
        <v>445</v>
      </c>
      <c r="E44" s="232"/>
      <c r="F44" s="232"/>
      <c r="G44" s="232"/>
      <c r="H44" s="232"/>
      <c r="I44" s="232"/>
      <c r="J44" s="232"/>
      <c r="K44" s="233"/>
      <c r="L44" s="233"/>
      <c r="M44" s="233"/>
      <c r="N44" s="233"/>
      <c r="O44" s="233"/>
      <c r="P44" s="233"/>
      <c r="Q44" s="233"/>
      <c r="R44" s="233"/>
      <c r="S44" s="233"/>
      <c r="T44" s="233"/>
      <c r="U44" s="233"/>
      <c r="V44" s="233"/>
      <c r="W44" s="183"/>
      <c r="X44" s="183"/>
      <c r="Y44" s="183"/>
      <c r="Z44" s="183"/>
      <c r="AA44" s="183"/>
      <c r="AB44" s="183"/>
      <c r="AC44" s="183"/>
      <c r="AD44" s="183"/>
      <c r="AE44" s="183"/>
      <c r="AF44" s="183"/>
      <c r="AG44" s="183"/>
      <c r="AH44" s="183"/>
      <c r="AI44" s="183"/>
      <c r="AJ44" s="183"/>
      <c r="AK44" s="183"/>
      <c r="AL44" s="183"/>
      <c r="AM44" s="183"/>
      <c r="AN44" s="183"/>
      <c r="AO44" s="183"/>
      <c r="AP44" s="183"/>
      <c r="AQ44" s="183"/>
      <c r="AR44" s="183"/>
      <c r="AS44" s="183"/>
      <c r="AT44" s="183"/>
      <c r="AU44" s="183"/>
      <c r="AV44" s="183"/>
      <c r="AW44" s="183"/>
      <c r="AX44" s="183"/>
      <c r="AY44" s="183"/>
      <c r="AZ44" s="183"/>
      <c r="BA44" s="183"/>
      <c r="BB44" s="183"/>
      <c r="BC44" s="183"/>
      <c r="BD44" s="183"/>
      <c r="BE44" s="183"/>
      <c r="BF44" s="183"/>
    </row>
    <row r="45" spans="2:58" ht="25.5" customHeight="1" x14ac:dyDescent="0.2">
      <c r="B45" s="225">
        <v>28</v>
      </c>
      <c r="C45" s="244" t="s">
        <v>452</v>
      </c>
      <c r="D45" s="226" t="s">
        <v>445</v>
      </c>
      <c r="E45" s="232"/>
      <c r="F45" s="232"/>
      <c r="G45" s="232"/>
      <c r="H45" s="232"/>
      <c r="I45" s="232"/>
      <c r="J45" s="232"/>
      <c r="K45" s="233"/>
      <c r="L45" s="233"/>
      <c r="M45" s="233"/>
      <c r="N45" s="233"/>
      <c r="O45" s="233"/>
      <c r="P45" s="233"/>
      <c r="Q45" s="233"/>
      <c r="R45" s="233"/>
      <c r="S45" s="233"/>
      <c r="T45" s="233"/>
      <c r="U45" s="233"/>
      <c r="V45" s="233"/>
      <c r="W45" s="183"/>
      <c r="X45" s="183"/>
      <c r="Y45" s="183"/>
      <c r="Z45" s="183"/>
      <c r="AA45" s="183"/>
      <c r="AB45" s="183"/>
      <c r="AC45" s="183"/>
      <c r="AD45" s="183"/>
      <c r="AE45" s="183"/>
      <c r="AF45" s="183"/>
      <c r="AG45" s="183"/>
      <c r="AH45" s="183"/>
      <c r="AI45" s="183"/>
      <c r="AJ45" s="183"/>
      <c r="AK45" s="183"/>
      <c r="AL45" s="183"/>
      <c r="AM45" s="183"/>
      <c r="AN45" s="183"/>
      <c r="AO45" s="183"/>
      <c r="AP45" s="183"/>
      <c r="AQ45" s="183"/>
      <c r="AR45" s="183"/>
      <c r="AS45" s="183"/>
      <c r="AT45" s="183"/>
      <c r="AU45" s="183"/>
      <c r="AV45" s="183"/>
      <c r="AW45" s="183"/>
      <c r="AX45" s="183"/>
      <c r="AY45" s="183"/>
      <c r="AZ45" s="183"/>
      <c r="BA45" s="183"/>
      <c r="BB45" s="183"/>
      <c r="BC45" s="183"/>
      <c r="BD45" s="183"/>
      <c r="BE45" s="183"/>
      <c r="BF45" s="183"/>
    </row>
    <row r="46" spans="2:58" ht="14.25" x14ac:dyDescent="0.2">
      <c r="B46" s="225">
        <v>29</v>
      </c>
      <c r="C46" s="244" t="s">
        <v>453</v>
      </c>
      <c r="D46" s="226" t="s">
        <v>445</v>
      </c>
      <c r="E46" s="234"/>
      <c r="F46" s="234"/>
      <c r="G46" s="234"/>
      <c r="H46" s="234"/>
      <c r="I46" s="234"/>
      <c r="J46" s="234"/>
      <c r="K46" s="235"/>
      <c r="L46" s="235"/>
      <c r="M46" s="235"/>
      <c r="N46" s="235"/>
      <c r="O46" s="235"/>
      <c r="P46" s="235"/>
      <c r="Q46" s="235"/>
      <c r="R46" s="235"/>
      <c r="S46" s="235"/>
      <c r="T46" s="235"/>
      <c r="U46" s="235"/>
      <c r="V46" s="235"/>
      <c r="W46" s="236"/>
      <c r="X46" s="236"/>
      <c r="Y46" s="236"/>
      <c r="Z46" s="236"/>
      <c r="AA46" s="236"/>
      <c r="AB46" s="236"/>
      <c r="AC46" s="236"/>
      <c r="AD46" s="236"/>
      <c r="AE46" s="236"/>
      <c r="AF46" s="236"/>
      <c r="AG46" s="236"/>
      <c r="AH46" s="236"/>
      <c r="AI46" s="236"/>
      <c r="AJ46" s="236"/>
      <c r="AK46" s="236"/>
      <c r="AL46" s="236"/>
      <c r="AM46" s="236"/>
      <c r="AN46" s="236"/>
      <c r="AO46" s="236"/>
      <c r="AP46" s="236"/>
      <c r="AQ46" s="236"/>
      <c r="AR46" s="236"/>
      <c r="AS46" s="236"/>
      <c r="AT46" s="236"/>
      <c r="AU46" s="236"/>
      <c r="AV46" s="236"/>
      <c r="AW46" s="236"/>
      <c r="AX46" s="236"/>
      <c r="AY46" s="236"/>
      <c r="AZ46" s="236"/>
      <c r="BA46" s="236"/>
      <c r="BB46" s="236"/>
      <c r="BC46" s="236"/>
      <c r="BD46" s="236"/>
      <c r="BE46" s="236"/>
      <c r="BF46" s="236"/>
    </row>
    <row r="47" spans="2:58" ht="14.25" x14ac:dyDescent="0.2">
      <c r="B47" s="225">
        <v>30</v>
      </c>
      <c r="C47" s="244" t="s">
        <v>454</v>
      </c>
      <c r="D47" s="226" t="s">
        <v>494</v>
      </c>
      <c r="E47" s="370">
        <v>9819</v>
      </c>
      <c r="F47" s="370"/>
      <c r="G47" s="370"/>
      <c r="H47" s="370"/>
      <c r="I47" s="370"/>
      <c r="J47" s="370"/>
      <c r="K47" s="370"/>
      <c r="L47" s="370"/>
      <c r="M47" s="370"/>
      <c r="N47" s="370"/>
      <c r="O47" s="370"/>
      <c r="P47" s="370"/>
      <c r="Q47" s="370"/>
      <c r="R47" s="370"/>
      <c r="S47" s="370"/>
      <c r="T47" s="370"/>
      <c r="U47" s="370"/>
      <c r="V47" s="370"/>
      <c r="W47" s="370"/>
      <c r="X47" s="370"/>
      <c r="Y47" s="370"/>
      <c r="Z47" s="370"/>
      <c r="AA47" s="370"/>
      <c r="AB47" s="370"/>
      <c r="AC47" s="370"/>
      <c r="AD47" s="370"/>
      <c r="AE47" s="370"/>
      <c r="AF47" s="370"/>
      <c r="AG47" s="370"/>
      <c r="AH47" s="370"/>
      <c r="AI47" s="370"/>
      <c r="AJ47" s="370"/>
      <c r="AK47" s="370"/>
      <c r="AL47" s="370"/>
      <c r="AM47" s="370"/>
      <c r="AN47" s="370"/>
      <c r="AO47" s="370"/>
      <c r="AP47" s="370"/>
      <c r="AQ47" s="370"/>
      <c r="AR47" s="370"/>
      <c r="AS47" s="370"/>
      <c r="AT47" s="370"/>
      <c r="AU47" s="370"/>
      <c r="AV47" s="370"/>
      <c r="AW47" s="370"/>
      <c r="AX47" s="370"/>
      <c r="AY47" s="370"/>
      <c r="AZ47" s="370"/>
      <c r="BA47" s="370"/>
      <c r="BB47" s="370"/>
      <c r="BC47" s="370"/>
      <c r="BD47" s="370"/>
      <c r="BE47" s="370"/>
      <c r="BF47" s="370"/>
    </row>
    <row r="49" spans="2:58" ht="15" x14ac:dyDescent="0.2">
      <c r="B49" s="237" t="s">
        <v>242</v>
      </c>
    </row>
    <row r="50" spans="2:58" ht="14.25" x14ac:dyDescent="0.2">
      <c r="B50" s="224"/>
      <c r="C50" s="244" t="s">
        <v>18</v>
      </c>
      <c r="D50" s="183"/>
      <c r="E50" s="238"/>
      <c r="F50" s="238"/>
      <c r="G50" s="238"/>
      <c r="H50" s="238"/>
      <c r="I50" s="238"/>
      <c r="J50" s="238"/>
      <c r="K50" s="238"/>
      <c r="L50" s="238"/>
      <c r="M50" s="238"/>
      <c r="N50" s="238"/>
      <c r="O50" s="238"/>
      <c r="P50" s="238"/>
      <c r="Q50" s="238"/>
      <c r="R50" s="238"/>
      <c r="S50" s="238"/>
      <c r="T50" s="238"/>
      <c r="U50" s="238"/>
      <c r="V50" s="238"/>
      <c r="W50" s="238"/>
      <c r="X50" s="238"/>
      <c r="Y50" s="238"/>
      <c r="Z50" s="238"/>
      <c r="AA50" s="238"/>
      <c r="AB50" s="238"/>
      <c r="AC50" s="238"/>
      <c r="AD50" s="238"/>
      <c r="AE50" s="238"/>
      <c r="AF50" s="238"/>
      <c r="AG50" s="238"/>
      <c r="AH50" s="238"/>
      <c r="AI50" s="238"/>
      <c r="AJ50" s="238"/>
      <c r="AK50" s="238"/>
      <c r="AL50" s="238"/>
      <c r="AM50" s="238"/>
      <c r="AN50" s="238"/>
      <c r="AO50" s="183"/>
      <c r="AP50" s="183"/>
      <c r="AQ50" s="183"/>
      <c r="AR50" s="183"/>
      <c r="AS50" s="183"/>
      <c r="AT50" s="183"/>
      <c r="AU50" s="183"/>
      <c r="AV50" s="183"/>
      <c r="AW50" s="183"/>
      <c r="AX50" s="183"/>
      <c r="AY50" s="183"/>
      <c r="AZ50" s="183"/>
      <c r="BA50" s="183"/>
      <c r="BB50" s="183"/>
      <c r="BC50" s="183"/>
      <c r="BD50" s="183"/>
      <c r="BE50" s="183"/>
      <c r="BF50" s="183"/>
    </row>
    <row r="51" spans="2:58" ht="14.25" x14ac:dyDescent="0.2">
      <c r="B51" s="224">
        <v>1</v>
      </c>
      <c r="C51" s="244" t="s">
        <v>486</v>
      </c>
      <c r="D51" s="183" t="s">
        <v>430</v>
      </c>
      <c r="E51" s="228">
        <v>141.589</v>
      </c>
      <c r="F51" s="228">
        <v>0</v>
      </c>
      <c r="G51" s="228">
        <v>0</v>
      </c>
      <c r="H51" s="228">
        <v>0</v>
      </c>
      <c r="I51" s="228">
        <v>0</v>
      </c>
      <c r="J51" s="228">
        <v>0</v>
      </c>
      <c r="K51" s="228">
        <v>1.415</v>
      </c>
      <c r="L51" s="228">
        <v>0.4</v>
      </c>
      <c r="M51" s="228">
        <v>0</v>
      </c>
      <c r="N51" s="228">
        <v>236.89699999999999</v>
      </c>
      <c r="O51" s="228">
        <v>67</v>
      </c>
      <c r="P51" s="228">
        <v>0</v>
      </c>
      <c r="Q51" s="228">
        <v>0</v>
      </c>
      <c r="R51" s="228">
        <v>0</v>
      </c>
      <c r="S51" s="228">
        <v>0</v>
      </c>
      <c r="T51" s="228">
        <v>285.23500000000001</v>
      </c>
      <c r="U51" s="228">
        <v>50.94</v>
      </c>
      <c r="V51" s="228">
        <v>0</v>
      </c>
      <c r="W51" s="228">
        <v>154.09100000000001</v>
      </c>
      <c r="X51" s="228">
        <v>52.3</v>
      </c>
      <c r="Y51" s="228">
        <v>0</v>
      </c>
      <c r="Z51" s="228">
        <v>1.29</v>
      </c>
      <c r="AA51" s="228">
        <v>0</v>
      </c>
      <c r="AB51" s="228">
        <v>0</v>
      </c>
      <c r="AC51" s="228">
        <v>0.36199999999999999</v>
      </c>
      <c r="AD51" s="228">
        <v>0</v>
      </c>
      <c r="AE51" s="228">
        <v>0</v>
      </c>
      <c r="AF51" s="228">
        <v>7.18</v>
      </c>
      <c r="AG51" s="228">
        <v>0</v>
      </c>
      <c r="AH51" s="228">
        <v>0</v>
      </c>
      <c r="AI51" s="228">
        <v>101.22</v>
      </c>
      <c r="AJ51" s="228">
        <v>138.69</v>
      </c>
      <c r="AK51" s="228">
        <v>0</v>
      </c>
      <c r="AL51" s="228">
        <v>13.345000000000001</v>
      </c>
      <c r="AM51" s="228">
        <v>0</v>
      </c>
      <c r="AN51" s="228">
        <v>0</v>
      </c>
      <c r="AO51" s="231">
        <v>14.39</v>
      </c>
      <c r="AP51" s="231">
        <v>0</v>
      </c>
      <c r="AQ51" s="231">
        <v>0</v>
      </c>
      <c r="AR51" s="231">
        <v>0.36099999999999999</v>
      </c>
      <c r="AS51" s="231">
        <v>0</v>
      </c>
      <c r="AT51" s="231">
        <v>0</v>
      </c>
      <c r="AU51" s="231">
        <v>1.28</v>
      </c>
      <c r="AV51" s="231">
        <v>0</v>
      </c>
      <c r="AW51" s="231">
        <v>0</v>
      </c>
      <c r="AX51" s="231">
        <v>441.63</v>
      </c>
      <c r="AY51" s="231">
        <v>215</v>
      </c>
      <c r="AZ51" s="231">
        <v>0</v>
      </c>
      <c r="BA51" s="231">
        <v>280.64</v>
      </c>
      <c r="BB51" s="231">
        <v>65</v>
      </c>
      <c r="BC51" s="231">
        <v>0</v>
      </c>
      <c r="BD51" s="231">
        <v>136.85</v>
      </c>
      <c r="BE51" s="231">
        <v>31</v>
      </c>
      <c r="BF51" s="183">
        <v>0</v>
      </c>
    </row>
    <row r="52" spans="2:58" ht="14.25" x14ac:dyDescent="0.2">
      <c r="B52" s="224">
        <v>2</v>
      </c>
      <c r="C52" s="244" t="s">
        <v>487</v>
      </c>
      <c r="D52" s="183" t="s">
        <v>431</v>
      </c>
      <c r="E52" s="239">
        <v>0.83772530891920405</v>
      </c>
      <c r="F52" s="228">
        <v>0</v>
      </c>
      <c r="G52" s="228">
        <v>0</v>
      </c>
      <c r="H52" s="228">
        <v>0</v>
      </c>
      <c r="I52" s="228">
        <v>0</v>
      </c>
      <c r="J52" s="228">
        <v>0</v>
      </c>
      <c r="K52" s="228">
        <v>8.3719873162510765E-3</v>
      </c>
      <c r="L52" s="228">
        <v>3.4788426490000354E-3</v>
      </c>
      <c r="M52" s="228">
        <v>0</v>
      </c>
      <c r="N52" s="228">
        <v>1.4016245083094918</v>
      </c>
      <c r="O52" s="228">
        <v>0.58270614370750595</v>
      </c>
      <c r="P52" s="228">
        <v>0</v>
      </c>
      <c r="Q52" s="228">
        <v>0</v>
      </c>
      <c r="R52" s="228">
        <v>0</v>
      </c>
      <c r="S52" s="228">
        <v>0</v>
      </c>
      <c r="T52" s="228">
        <v>1.6876210615907248</v>
      </c>
      <c r="U52" s="228">
        <v>0.44303061135015448</v>
      </c>
      <c r="V52" s="228">
        <v>0</v>
      </c>
      <c r="W52" s="228">
        <v>0.91169462724271699</v>
      </c>
      <c r="X52" s="228">
        <v>0.45485867635675453</v>
      </c>
      <c r="Y52" s="228">
        <v>0</v>
      </c>
      <c r="Z52" s="228">
        <v>7.6324124649921462E-3</v>
      </c>
      <c r="AA52" s="228">
        <v>0</v>
      </c>
      <c r="AB52" s="228">
        <v>0</v>
      </c>
      <c r="AC52" s="228">
        <v>2.1418087692458574E-3</v>
      </c>
      <c r="AD52" s="228">
        <v>0</v>
      </c>
      <c r="AE52" s="228">
        <v>0</v>
      </c>
      <c r="AF52" s="228">
        <v>4.248117945631287E-2</v>
      </c>
      <c r="AG52" s="228">
        <v>0</v>
      </c>
      <c r="AH52" s="228">
        <v>0</v>
      </c>
      <c r="AI52" s="228">
        <v>0.60765452712522727</v>
      </c>
      <c r="AJ52" s="228">
        <v>1.1680545760133301</v>
      </c>
      <c r="AK52" s="228">
        <v>0</v>
      </c>
      <c r="AL52" s="228">
        <v>8.0501740057806165E-2</v>
      </c>
      <c r="AM52" s="228">
        <v>0</v>
      </c>
      <c r="AN52" s="228">
        <v>0</v>
      </c>
      <c r="AO52" s="231">
        <v>8.6805548102797253E-2</v>
      </c>
      <c r="AP52" s="231">
        <v>0</v>
      </c>
      <c r="AQ52" s="231">
        <v>0</v>
      </c>
      <c r="AR52" s="231">
        <v>2.1776791428151361E-3</v>
      </c>
      <c r="AS52" s="231">
        <v>0</v>
      </c>
      <c r="AT52" s="231">
        <v>0</v>
      </c>
      <c r="AU52" s="231">
        <v>7.7214108110896795E-3</v>
      </c>
      <c r="AV52" s="231">
        <v>0</v>
      </c>
      <c r="AW52" s="231">
        <v>0</v>
      </c>
      <c r="AX52" s="231">
        <v>2.6648650724296221</v>
      </c>
      <c r="AY52" s="231">
        <v>1.6296881615366368</v>
      </c>
      <c r="AZ52" s="231">
        <v>0</v>
      </c>
      <c r="BA52" s="231">
        <v>1.6901401897768091</v>
      </c>
      <c r="BB52" s="231">
        <v>0.49269642092968097</v>
      </c>
      <c r="BC52" s="231">
        <v>0</v>
      </c>
      <c r="BD52" s="231">
        <v>0.82169076171876843</v>
      </c>
      <c r="BE52" s="231">
        <v>0.23479670098316427</v>
      </c>
      <c r="BF52" s="183">
        <v>0</v>
      </c>
    </row>
    <row r="53" spans="2:58" ht="14.25" x14ac:dyDescent="0.2">
      <c r="B53" s="224">
        <v>3</v>
      </c>
      <c r="C53" s="244" t="s">
        <v>488</v>
      </c>
      <c r="D53" s="183" t="s">
        <v>442</v>
      </c>
      <c r="E53" s="367">
        <v>59165.988100714319</v>
      </c>
      <c r="F53" s="368"/>
      <c r="G53" s="369"/>
      <c r="H53" s="367">
        <v>64087.485800256298</v>
      </c>
      <c r="I53" s="368"/>
      <c r="J53" s="369"/>
      <c r="K53" s="367">
        <v>65293.829009648005</v>
      </c>
      <c r="L53" s="368"/>
      <c r="M53" s="369"/>
      <c r="N53" s="367">
        <v>65296.157975136237</v>
      </c>
      <c r="O53" s="368"/>
      <c r="P53" s="369"/>
      <c r="Q53" s="367">
        <v>63935.546889730897</v>
      </c>
      <c r="R53" s="368"/>
      <c r="S53" s="369"/>
      <c r="T53" s="367">
        <v>63379.242148906946</v>
      </c>
      <c r="U53" s="368"/>
      <c r="V53" s="369"/>
      <c r="W53" s="367">
        <v>66211.865032848873</v>
      </c>
      <c r="X53" s="368"/>
      <c r="Y53" s="369"/>
      <c r="Z53" s="367">
        <v>59165.988100714312</v>
      </c>
      <c r="AA53" s="368"/>
      <c r="AB53" s="369"/>
      <c r="AC53" s="367">
        <v>59165.988100714298</v>
      </c>
      <c r="AD53" s="368"/>
      <c r="AE53" s="369"/>
      <c r="AF53" s="367">
        <v>59165.988100714305</v>
      </c>
      <c r="AG53" s="368"/>
      <c r="AH53" s="369"/>
      <c r="AI53" s="367">
        <v>74015.635160625126</v>
      </c>
      <c r="AJ53" s="368"/>
      <c r="AK53" s="369"/>
      <c r="AL53" s="367">
        <v>60323.521961638187</v>
      </c>
      <c r="AM53" s="368"/>
      <c r="AN53" s="369"/>
      <c r="AO53" s="367">
        <v>60323.521961638115</v>
      </c>
      <c r="AP53" s="368"/>
      <c r="AQ53" s="369"/>
      <c r="AR53" s="367">
        <v>60323.521961638122</v>
      </c>
      <c r="AS53" s="368"/>
      <c r="AT53" s="369"/>
      <c r="AU53" s="367">
        <v>60323.521961638122</v>
      </c>
      <c r="AV53" s="368"/>
      <c r="AW53" s="369"/>
      <c r="AX53" s="367">
        <v>65402.939767696545</v>
      </c>
      <c r="AY53" s="368"/>
      <c r="AZ53" s="369"/>
      <c r="BA53" s="367">
        <v>63153.472130149588</v>
      </c>
      <c r="BB53" s="368"/>
      <c r="BC53" s="369"/>
      <c r="BD53" s="367">
        <v>62942.357027222686</v>
      </c>
      <c r="BE53" s="368"/>
      <c r="BF53" s="369"/>
    </row>
  </sheetData>
  <mergeCells count="43">
    <mergeCell ref="AX53:AZ53"/>
    <mergeCell ref="BA53:BC53"/>
    <mergeCell ref="BD53:BF53"/>
    <mergeCell ref="E47:BF47"/>
    <mergeCell ref="E53:G53"/>
    <mergeCell ref="H53:J53"/>
    <mergeCell ref="K53:M53"/>
    <mergeCell ref="N53:P53"/>
    <mergeCell ref="Q53:S53"/>
    <mergeCell ref="T53:V53"/>
    <mergeCell ref="W53:Y53"/>
    <mergeCell ref="Z53:AB53"/>
    <mergeCell ref="AC53:AE53"/>
    <mergeCell ref="AF53:AH53"/>
    <mergeCell ref="AI53:AK53"/>
    <mergeCell ref="AL53:AN53"/>
    <mergeCell ref="AO53:AQ53"/>
    <mergeCell ref="AR53:AT53"/>
    <mergeCell ref="AU53:AW53"/>
    <mergeCell ref="AR6:AT6"/>
    <mergeCell ref="AU6:AW6"/>
    <mergeCell ref="W6:Y6"/>
    <mergeCell ref="Z6:AB6"/>
    <mergeCell ref="AX6:AZ6"/>
    <mergeCell ref="BA6:BC6"/>
    <mergeCell ref="BD6:BF6"/>
    <mergeCell ref="AC6:AE6"/>
    <mergeCell ref="AF6:AH6"/>
    <mergeCell ref="AI6:AK6"/>
    <mergeCell ref="AL6:AN6"/>
    <mergeCell ref="AO6:AQ6"/>
    <mergeCell ref="B6:B7"/>
    <mergeCell ref="C6:C7"/>
    <mergeCell ref="B2:V2"/>
    <mergeCell ref="B3:V3"/>
    <mergeCell ref="B4:V4"/>
    <mergeCell ref="D6:D7"/>
    <mergeCell ref="E6:G6"/>
    <mergeCell ref="H6:J6"/>
    <mergeCell ref="K6:M6"/>
    <mergeCell ref="N6:P6"/>
    <mergeCell ref="Q6:S6"/>
    <mergeCell ref="T6:V6"/>
  </mergeCells>
  <pageMargins left="0.25" right="0.2" top="0.25" bottom="0.25" header="0.3" footer="0.3"/>
  <pageSetup paperSize="9" scale="65" fitToWidth="0" orientation="landscape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K19"/>
  <sheetViews>
    <sheetView showGridLines="0" view="pageBreakPreview" topLeftCell="A6" zoomScaleNormal="91" zoomScaleSheetLayoutView="100" workbookViewId="0">
      <selection activeCell="L26" sqref="L26"/>
    </sheetView>
  </sheetViews>
  <sheetFormatPr defaultColWidth="9.28515625" defaultRowHeight="14.25" x14ac:dyDescent="0.2"/>
  <cols>
    <col min="1" max="1" width="2.42578125" style="87" customWidth="1"/>
    <col min="2" max="2" width="31.7109375" style="87" customWidth="1"/>
    <col min="3" max="3" width="8.42578125" style="87" customWidth="1"/>
    <col min="4" max="4" width="9.28515625" style="87" customWidth="1"/>
    <col min="5" max="5" width="12" style="87" customWidth="1"/>
    <col min="6" max="6" width="9.28515625" style="87" customWidth="1"/>
    <col min="7" max="7" width="11.140625" style="87" customWidth="1"/>
    <col min="8" max="8" width="11.42578125" style="87" customWidth="1"/>
    <col min="9" max="9" width="9.5703125" style="87" customWidth="1"/>
    <col min="10" max="10" width="11.7109375" style="87" customWidth="1"/>
    <col min="11" max="11" width="12.28515625" style="87" customWidth="1"/>
    <col min="12" max="16384" width="9.28515625" style="87"/>
  </cols>
  <sheetData>
    <row r="2" spans="2:11" ht="15" x14ac:dyDescent="0.2">
      <c r="G2" s="32" t="s">
        <v>401</v>
      </c>
    </row>
    <row r="3" spans="2:11" ht="15" x14ac:dyDescent="0.2">
      <c r="G3" s="32" t="s">
        <v>467</v>
      </c>
    </row>
    <row r="4" spans="2:11" ht="15" x14ac:dyDescent="0.2">
      <c r="G4" s="35" t="s">
        <v>346</v>
      </c>
    </row>
    <row r="5" spans="2:11" ht="10.5" customHeight="1" x14ac:dyDescent="0.2"/>
    <row r="6" spans="2:11" ht="15" x14ac:dyDescent="0.2">
      <c r="B6" s="371" t="s">
        <v>18</v>
      </c>
      <c r="C6" s="371" t="s">
        <v>209</v>
      </c>
      <c r="D6" s="371" t="s">
        <v>39</v>
      </c>
      <c r="E6" s="325" t="s">
        <v>403</v>
      </c>
      <c r="F6" s="326"/>
      <c r="G6" s="327"/>
      <c r="H6" s="325" t="s">
        <v>404</v>
      </c>
      <c r="I6" s="327"/>
      <c r="J6" s="325" t="s">
        <v>465</v>
      </c>
      <c r="K6" s="327"/>
    </row>
    <row r="7" spans="2:11" ht="39" customHeight="1" x14ac:dyDescent="0.2">
      <c r="B7" s="371"/>
      <c r="C7" s="371"/>
      <c r="D7" s="371"/>
      <c r="E7" s="15" t="s">
        <v>370</v>
      </c>
      <c r="F7" s="15" t="s">
        <v>240</v>
      </c>
      <c r="G7" s="15" t="s">
        <v>208</v>
      </c>
      <c r="H7" s="15" t="s">
        <v>395</v>
      </c>
      <c r="I7" s="15" t="s">
        <v>239</v>
      </c>
      <c r="J7" s="15" t="s">
        <v>395</v>
      </c>
      <c r="K7" s="15" t="s">
        <v>229</v>
      </c>
    </row>
    <row r="8" spans="2:11" ht="30" x14ac:dyDescent="0.2">
      <c r="B8" s="371"/>
      <c r="C8" s="371"/>
      <c r="D8" s="371"/>
      <c r="E8" s="15" t="s">
        <v>10</v>
      </c>
      <c r="F8" s="15" t="s">
        <v>12</v>
      </c>
      <c r="G8" s="15" t="s">
        <v>231</v>
      </c>
      <c r="H8" s="15" t="s">
        <v>10</v>
      </c>
      <c r="I8" s="15" t="s">
        <v>5</v>
      </c>
      <c r="J8" s="15" t="s">
        <v>10</v>
      </c>
      <c r="K8" s="15" t="s">
        <v>8</v>
      </c>
    </row>
    <row r="9" spans="2:11" x14ac:dyDescent="0.2">
      <c r="B9" s="92" t="s">
        <v>171</v>
      </c>
      <c r="C9" s="95" t="s">
        <v>353</v>
      </c>
      <c r="D9" s="95" t="s">
        <v>42</v>
      </c>
      <c r="E9" s="28">
        <v>5.25</v>
      </c>
      <c r="F9" s="103">
        <f>'F10'!F28</f>
        <v>4.5135287644045166</v>
      </c>
      <c r="G9" s="103">
        <f t="shared" ref="G9:G16" si="0">F9</f>
        <v>4.5135287644045166</v>
      </c>
      <c r="H9" s="103">
        <v>5.25</v>
      </c>
      <c r="I9" s="103">
        <v>5.25</v>
      </c>
      <c r="J9" s="103">
        <v>5.25</v>
      </c>
      <c r="K9" s="103">
        <v>5.25</v>
      </c>
    </row>
    <row r="10" spans="2:11" x14ac:dyDescent="0.2">
      <c r="B10" s="93" t="s">
        <v>207</v>
      </c>
      <c r="C10" s="96" t="s">
        <v>363</v>
      </c>
      <c r="D10" s="96" t="s">
        <v>49</v>
      </c>
      <c r="E10" s="28">
        <v>2151</v>
      </c>
      <c r="F10" s="103">
        <f>'F10'!F34</f>
        <v>2077.1308466748869</v>
      </c>
      <c r="G10" s="103">
        <f>F10</f>
        <v>2077.1308466748869</v>
      </c>
      <c r="H10" s="28">
        <v>2151</v>
      </c>
      <c r="I10" s="28">
        <v>2151</v>
      </c>
      <c r="J10" s="28">
        <v>2151</v>
      </c>
      <c r="K10" s="28">
        <v>2151</v>
      </c>
    </row>
    <row r="11" spans="2:11" x14ac:dyDescent="0.2">
      <c r="B11" s="92" t="s">
        <v>347</v>
      </c>
      <c r="C11" s="95" t="s">
        <v>354</v>
      </c>
      <c r="D11" s="95" t="s">
        <v>51</v>
      </c>
      <c r="E11" s="28">
        <v>0.5</v>
      </c>
      <c r="F11" s="103">
        <f>'F10'!F38</f>
        <v>0.22602848939398237</v>
      </c>
      <c r="G11" s="103">
        <f t="shared" si="0"/>
        <v>0.22602848939398237</v>
      </c>
      <c r="H11" s="138">
        <f t="shared" ref="H11:H16" si="1">I11</f>
        <v>0.5</v>
      </c>
      <c r="I11" s="138">
        <v>0.5</v>
      </c>
      <c r="J11" s="138">
        <f t="shared" ref="J11:J16" si="2">H11</f>
        <v>0.5</v>
      </c>
      <c r="K11" s="138">
        <f t="shared" ref="K11:K16" si="3">I11</f>
        <v>0.5</v>
      </c>
    </row>
    <row r="12" spans="2:11" x14ac:dyDescent="0.2">
      <c r="B12" s="92" t="s">
        <v>348</v>
      </c>
      <c r="C12" s="95" t="s">
        <v>355</v>
      </c>
      <c r="D12" s="95" t="s">
        <v>356</v>
      </c>
      <c r="E12" s="105">
        <f>F12</f>
        <v>9819</v>
      </c>
      <c r="F12" s="105">
        <v>9819</v>
      </c>
      <c r="G12" s="105">
        <f t="shared" si="0"/>
        <v>9819</v>
      </c>
      <c r="H12" s="105">
        <f t="shared" si="1"/>
        <v>9819</v>
      </c>
      <c r="I12" s="105">
        <v>9819</v>
      </c>
      <c r="J12" s="105">
        <f t="shared" si="2"/>
        <v>9819</v>
      </c>
      <c r="K12" s="105">
        <f t="shared" si="3"/>
        <v>9819</v>
      </c>
    </row>
    <row r="13" spans="2:11" x14ac:dyDescent="0.2">
      <c r="B13" s="92" t="s">
        <v>349</v>
      </c>
      <c r="C13" s="95" t="s">
        <v>357</v>
      </c>
      <c r="D13" s="95" t="s">
        <v>358</v>
      </c>
      <c r="E13" s="103">
        <f>F13</f>
        <v>6.5813721251332905E-2</v>
      </c>
      <c r="F13" s="103">
        <v>6.5813721251332905E-2</v>
      </c>
      <c r="G13" s="103">
        <f t="shared" si="0"/>
        <v>6.5813721251332905E-2</v>
      </c>
      <c r="H13" s="103">
        <f t="shared" si="1"/>
        <v>6.3959446026318395E-2</v>
      </c>
      <c r="I13" s="103">
        <f>63959.4460263184/1000000</f>
        <v>6.3959446026318395E-2</v>
      </c>
      <c r="J13" s="103">
        <f>K13</f>
        <v>6.5914139014470588E-2</v>
      </c>
      <c r="K13" s="103">
        <f>65914.1390144706/1000000</f>
        <v>6.5914139014470588E-2</v>
      </c>
    </row>
    <row r="14" spans="2:11" x14ac:dyDescent="0.2">
      <c r="B14" s="92" t="s">
        <v>364</v>
      </c>
      <c r="C14" s="95" t="s">
        <v>359</v>
      </c>
      <c r="D14" s="95" t="s">
        <v>333</v>
      </c>
      <c r="E14" s="105">
        <f>F14</f>
        <v>3846.1930000000002</v>
      </c>
      <c r="F14" s="105">
        <v>3846.1930000000002</v>
      </c>
      <c r="G14" s="105">
        <f>F14</f>
        <v>3846.1930000000002</v>
      </c>
      <c r="H14" s="105">
        <f>I14</f>
        <v>3606.8851395463134</v>
      </c>
      <c r="I14" s="105">
        <v>3606.8851395463134</v>
      </c>
      <c r="J14" s="105">
        <f>K14</f>
        <v>3622.0920414641714</v>
      </c>
      <c r="K14" s="105">
        <v>3622.0920414641714</v>
      </c>
    </row>
    <row r="15" spans="2:11" x14ac:dyDescent="0.2">
      <c r="B15" s="92" t="s">
        <v>350</v>
      </c>
      <c r="C15" s="95" t="s">
        <v>360</v>
      </c>
      <c r="D15" s="95" t="s">
        <v>361</v>
      </c>
      <c r="E15" s="103">
        <f>F15</f>
        <v>6.088863943661476</v>
      </c>
      <c r="F15" s="103">
        <v>6.088863943661476</v>
      </c>
      <c r="G15" s="103">
        <f t="shared" si="0"/>
        <v>6.088863943661476</v>
      </c>
      <c r="H15" s="138">
        <f>I15</f>
        <v>5.5159447702269997</v>
      </c>
      <c r="I15" s="138">
        <f>5515.944770227/1000</f>
        <v>5.5159447702269997</v>
      </c>
      <c r="J15" s="138">
        <f>K15</f>
        <v>5.43528118699935</v>
      </c>
      <c r="K15" s="138">
        <f>5435.28118699935/1000</f>
        <v>5.43528118699935</v>
      </c>
    </row>
    <row r="16" spans="2:11" x14ac:dyDescent="0.2">
      <c r="B16" s="92" t="s">
        <v>351</v>
      </c>
      <c r="C16" s="95"/>
      <c r="D16" s="95" t="s">
        <v>362</v>
      </c>
      <c r="E16" s="103">
        <f>(E10-(E11*E12/1000))/E14</f>
        <v>0.55797784978548914</v>
      </c>
      <c r="F16" s="103">
        <f>(F10-(F11*F12/1000))/F14</f>
        <v>0.53947149114397719</v>
      </c>
      <c r="G16" s="103">
        <f t="shared" si="0"/>
        <v>0.53947149114397719</v>
      </c>
      <c r="H16" s="103">
        <f t="shared" si="1"/>
        <v>0.59499829270137017</v>
      </c>
      <c r="I16" s="103">
        <f>(I10-(I11*I12/1000))/I14</f>
        <v>0.59499829270137017</v>
      </c>
      <c r="J16" s="103">
        <f t="shared" si="2"/>
        <v>0.59499829270137017</v>
      </c>
      <c r="K16" s="103">
        <f t="shared" si="3"/>
        <v>0.59499829270137017</v>
      </c>
    </row>
    <row r="17" spans="2:11" ht="15" x14ac:dyDescent="0.2">
      <c r="B17" s="92" t="s">
        <v>407</v>
      </c>
      <c r="C17" s="95"/>
      <c r="D17" s="94" t="s">
        <v>204</v>
      </c>
      <c r="E17" s="140">
        <f>IFERROR(((E10-E11*E12/1000)*E15/E14)*100/(100-E9),0)</f>
        <v>3.5857004864597615</v>
      </c>
      <c r="F17" s="140">
        <f>IFERROR(((F10-F11*F12/1000)*F15/F14)*100/(100-F9),0)</f>
        <v>3.4400355029931786</v>
      </c>
      <c r="G17" s="140">
        <f>IFERROR(((G10-G11*G12/1000)*G15/G14)*100/(100-G9),0)</f>
        <v>3.4400355029931786</v>
      </c>
      <c r="H17" s="140">
        <f t="shared" ref="H17:K17" si="4">ROUND(IFERROR(((H10-H11*H12/1000)*H15/H14)*100/(100-H9),0),3)</f>
        <v>3.464</v>
      </c>
      <c r="I17" s="140">
        <f t="shared" si="4"/>
        <v>3.464</v>
      </c>
      <c r="J17" s="140">
        <f t="shared" si="4"/>
        <v>3.399</v>
      </c>
      <c r="K17" s="140">
        <f t="shared" si="4"/>
        <v>3.399</v>
      </c>
    </row>
    <row r="18" spans="2:11" ht="15" x14ac:dyDescent="0.2">
      <c r="B18" s="92" t="s">
        <v>408</v>
      </c>
      <c r="C18" s="95"/>
      <c r="D18" s="94" t="s">
        <v>204</v>
      </c>
      <c r="E18" s="140">
        <f>IFERROR((E11*E13)*100/(100-E9),0)</f>
        <v>3.4730195910993619E-2</v>
      </c>
      <c r="F18" s="140">
        <f>IFERROR((F11*F13)*100/(100-F9),0)</f>
        <v>1.5578935741726325E-2</v>
      </c>
      <c r="G18" s="140">
        <f>IFERROR((G11*G13)*100/(100-G9),0)</f>
        <v>1.5578935741726325E-2</v>
      </c>
      <c r="H18" s="140">
        <f t="shared" ref="H18:K18" si="5">ROUND(IFERROR((H11*H13)*100/(100-H9),0),3)</f>
        <v>3.4000000000000002E-2</v>
      </c>
      <c r="I18" s="140">
        <f t="shared" si="5"/>
        <v>3.4000000000000002E-2</v>
      </c>
      <c r="J18" s="140">
        <f t="shared" si="5"/>
        <v>3.5000000000000003E-2</v>
      </c>
      <c r="K18" s="140">
        <f t="shared" si="5"/>
        <v>3.5000000000000003E-2</v>
      </c>
    </row>
    <row r="19" spans="2:11" ht="15" x14ac:dyDescent="0.2">
      <c r="B19" s="94" t="s">
        <v>352</v>
      </c>
      <c r="C19" s="95"/>
      <c r="D19" s="94" t="s">
        <v>204</v>
      </c>
      <c r="E19" s="139">
        <f>IFERROR(((E10-E11*E12/1000)*E15/E14+E11*E13)*100/(100-E9),0)</f>
        <v>3.6204306823707548</v>
      </c>
      <c r="F19" s="139">
        <f>IFERROR(((F10-F11*F12/1000)*F15/F14+F11*F13)*100/(100-F9),0)</f>
        <v>3.4556144387349055</v>
      </c>
      <c r="G19" s="139">
        <f>IFERROR(((G10-G11*G12/1000)*G15/G14+G11*G13)*100/(100-G9),0)</f>
        <v>3.4556144387349055</v>
      </c>
      <c r="H19" s="139">
        <f t="shared" ref="H19:K19" si="6">ROUND(IFERROR(((H10-H11*H12/1000)*H15/H14+H11*H13)*100/(100-H9),0),3)</f>
        <v>3.4980000000000002</v>
      </c>
      <c r="I19" s="139">
        <f t="shared" si="6"/>
        <v>3.4980000000000002</v>
      </c>
      <c r="J19" s="139">
        <f t="shared" si="6"/>
        <v>3.4340000000000002</v>
      </c>
      <c r="K19" s="139">
        <f t="shared" si="6"/>
        <v>3.4340000000000002</v>
      </c>
    </row>
  </sheetData>
  <mergeCells count="6">
    <mergeCell ref="J6:K6"/>
    <mergeCell ref="E6:G6"/>
    <mergeCell ref="H6:I6"/>
    <mergeCell ref="B6:B8"/>
    <mergeCell ref="D6:D8"/>
    <mergeCell ref="C6:C8"/>
  </mergeCells>
  <pageMargins left="0.2" right="0.2" top="0.75" bottom="0.75" header="0.3" footer="0.3"/>
  <pageSetup paperSize="9" scale="9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M22"/>
  <sheetViews>
    <sheetView showGridLines="0" topLeftCell="A7" zoomScale="93" zoomScaleNormal="93" zoomScaleSheetLayoutView="91" workbookViewId="0">
      <selection activeCell="J22" sqref="J22"/>
    </sheetView>
  </sheetViews>
  <sheetFormatPr defaultColWidth="9.28515625" defaultRowHeight="14.25" x14ac:dyDescent="0.2"/>
  <cols>
    <col min="1" max="1" width="3" style="13" customWidth="1"/>
    <col min="2" max="2" width="5.7109375" style="13" customWidth="1"/>
    <col min="3" max="3" width="37" style="13" customWidth="1"/>
    <col min="4" max="5" width="11.5703125" style="13" customWidth="1"/>
    <col min="6" max="6" width="11.7109375" style="13" customWidth="1"/>
    <col min="7" max="7" width="9.85546875" style="13" customWidth="1"/>
    <col min="8" max="8" width="14.140625" style="13" customWidth="1"/>
    <col min="9" max="9" width="11.85546875" style="13" customWidth="1"/>
    <col min="10" max="10" width="10.7109375" style="13" customWidth="1"/>
    <col min="11" max="11" width="11.7109375" style="13" bestFit="1" customWidth="1"/>
    <col min="12" max="12" width="11.5703125" style="13" customWidth="1"/>
    <col min="13" max="13" width="10.5703125" style="13" customWidth="1"/>
    <col min="14" max="16384" width="9.28515625" style="13"/>
  </cols>
  <sheetData>
    <row r="2" spans="2:13" ht="15" x14ac:dyDescent="0.2">
      <c r="C2" s="5"/>
      <c r="D2" s="5"/>
      <c r="E2" s="5"/>
      <c r="F2" s="32" t="s">
        <v>401</v>
      </c>
      <c r="G2" s="5"/>
      <c r="H2" s="5"/>
      <c r="I2" s="5"/>
      <c r="J2" s="5"/>
      <c r="K2" s="5"/>
      <c r="L2" s="5"/>
      <c r="M2" s="5"/>
    </row>
    <row r="3" spans="2:13" ht="15" x14ac:dyDescent="0.2">
      <c r="C3" s="5"/>
      <c r="D3" s="5"/>
      <c r="E3" s="5"/>
      <c r="F3" s="32" t="s">
        <v>467</v>
      </c>
      <c r="G3" s="5"/>
      <c r="H3" s="5"/>
      <c r="I3" s="5"/>
      <c r="J3" s="5"/>
      <c r="K3" s="5"/>
      <c r="L3" s="5"/>
      <c r="M3" s="5"/>
    </row>
    <row r="4" spans="2:13" s="4" customFormat="1" ht="15.75" x14ac:dyDescent="0.2">
      <c r="C4" s="5"/>
      <c r="D4" s="5"/>
      <c r="F4" s="66" t="s">
        <v>406</v>
      </c>
      <c r="G4" s="5"/>
      <c r="H4" s="5"/>
      <c r="I4" s="5"/>
      <c r="J4" s="5"/>
      <c r="K4" s="5"/>
      <c r="L4" s="5"/>
      <c r="M4" s="5"/>
    </row>
    <row r="6" spans="2:13" ht="12.75" customHeight="1" x14ac:dyDescent="0.2">
      <c r="B6" s="318" t="s">
        <v>193</v>
      </c>
      <c r="C6" s="321" t="s">
        <v>18</v>
      </c>
      <c r="D6" s="315" t="s">
        <v>39</v>
      </c>
      <c r="E6" s="321" t="s">
        <v>1</v>
      </c>
      <c r="F6" s="325" t="s">
        <v>403</v>
      </c>
      <c r="G6" s="326"/>
      <c r="H6" s="327"/>
      <c r="I6" s="325" t="s">
        <v>404</v>
      </c>
      <c r="J6" s="327"/>
      <c r="K6" s="325" t="s">
        <v>465</v>
      </c>
      <c r="L6" s="327"/>
      <c r="M6" s="323" t="s">
        <v>11</v>
      </c>
    </row>
    <row r="7" spans="2:13" ht="60" customHeight="1" x14ac:dyDescent="0.2">
      <c r="B7" s="319"/>
      <c r="C7" s="321"/>
      <c r="D7" s="316"/>
      <c r="E7" s="321"/>
      <c r="F7" s="15" t="s">
        <v>395</v>
      </c>
      <c r="G7" s="15" t="s">
        <v>230</v>
      </c>
      <c r="H7" s="15" t="s">
        <v>464</v>
      </c>
      <c r="I7" s="15" t="s">
        <v>395</v>
      </c>
      <c r="J7" s="15" t="s">
        <v>232</v>
      </c>
      <c r="K7" s="15" t="s">
        <v>395</v>
      </c>
      <c r="L7" s="15" t="s">
        <v>232</v>
      </c>
      <c r="M7" s="323"/>
    </row>
    <row r="8" spans="2:13" ht="30" x14ac:dyDescent="0.2">
      <c r="B8" s="320"/>
      <c r="C8" s="322"/>
      <c r="D8" s="317"/>
      <c r="E8" s="322"/>
      <c r="F8" s="15" t="s">
        <v>10</v>
      </c>
      <c r="G8" s="15" t="s">
        <v>12</v>
      </c>
      <c r="H8" s="15" t="s">
        <v>231</v>
      </c>
      <c r="I8" s="15" t="s">
        <v>10</v>
      </c>
      <c r="J8" s="15" t="s">
        <v>461</v>
      </c>
      <c r="K8" s="15" t="s">
        <v>10</v>
      </c>
      <c r="L8" s="15" t="s">
        <v>461</v>
      </c>
      <c r="M8" s="324"/>
    </row>
    <row r="9" spans="2:13" ht="15" x14ac:dyDescent="0.2">
      <c r="B9" s="22" t="s">
        <v>67</v>
      </c>
      <c r="C9" s="23" t="s">
        <v>235</v>
      </c>
      <c r="D9" s="20"/>
      <c r="E9" s="20"/>
      <c r="F9" s="15"/>
      <c r="G9" s="15"/>
      <c r="H9" s="15"/>
      <c r="I9" s="15"/>
      <c r="J9" s="15"/>
      <c r="K9" s="15"/>
      <c r="L9" s="15"/>
      <c r="M9" s="21"/>
    </row>
    <row r="10" spans="2:13" ht="15" x14ac:dyDescent="0.2">
      <c r="B10" s="2">
        <v>1</v>
      </c>
      <c r="C10" s="3" t="s">
        <v>36</v>
      </c>
      <c r="D10" s="2" t="s">
        <v>205</v>
      </c>
      <c r="E10" s="17" t="s">
        <v>266</v>
      </c>
      <c r="F10" s="167">
        <f>'F2'!E13</f>
        <v>483.04</v>
      </c>
      <c r="G10" s="167">
        <f>'F2'!F13</f>
        <v>536.74</v>
      </c>
      <c r="H10" s="167">
        <f>'F2'!G13</f>
        <v>536.74</v>
      </c>
      <c r="I10" s="167">
        <f>'F2'!H13</f>
        <v>510.66</v>
      </c>
      <c r="J10" s="167">
        <f>'F2'!I13</f>
        <v>564.87</v>
      </c>
      <c r="K10" s="167">
        <f>'F2'!J13</f>
        <v>539.87</v>
      </c>
      <c r="L10" s="167">
        <f>'F2'!K13</f>
        <v>588.66999999999996</v>
      </c>
      <c r="M10" s="126"/>
    </row>
    <row r="11" spans="2:13" ht="15" x14ac:dyDescent="0.2">
      <c r="B11" s="2">
        <f t="shared" ref="B11:B16" si="0">B10+1</f>
        <v>2</v>
      </c>
      <c r="C11" s="18" t="s">
        <v>167</v>
      </c>
      <c r="D11" s="2" t="s">
        <v>205</v>
      </c>
      <c r="E11" s="17" t="s">
        <v>23</v>
      </c>
      <c r="F11" s="168">
        <v>186.42</v>
      </c>
      <c r="G11" s="168">
        <f>H11</f>
        <v>174.74</v>
      </c>
      <c r="H11" s="167">
        <f>'F4'!K21</f>
        <v>174.74</v>
      </c>
      <c r="I11" s="169">
        <v>186.42</v>
      </c>
      <c r="J11" s="167">
        <f>'F4'!K37</f>
        <v>174.82</v>
      </c>
      <c r="K11" s="169">
        <v>186.42</v>
      </c>
      <c r="L11" s="167">
        <f>'F4'!K53</f>
        <v>174.95</v>
      </c>
      <c r="M11" s="126"/>
    </row>
    <row r="12" spans="2:13" ht="15" x14ac:dyDescent="0.2">
      <c r="B12" s="2">
        <f t="shared" si="0"/>
        <v>3</v>
      </c>
      <c r="C12" s="3" t="s">
        <v>233</v>
      </c>
      <c r="D12" s="2" t="s">
        <v>205</v>
      </c>
      <c r="E12" s="16" t="s">
        <v>29</v>
      </c>
      <c r="F12" s="167">
        <f>'F5'!D20</f>
        <v>242.01</v>
      </c>
      <c r="G12" s="167">
        <f>'F5'!E20</f>
        <v>220.61</v>
      </c>
      <c r="H12" s="167">
        <f>'F5'!F20</f>
        <v>220.61</v>
      </c>
      <c r="I12" s="167">
        <f>'F5'!G20</f>
        <v>223.03</v>
      </c>
      <c r="J12" s="167">
        <f>'F5'!H20</f>
        <v>205.13</v>
      </c>
      <c r="K12" s="167">
        <f>'F5'!I20</f>
        <v>203.81</v>
      </c>
      <c r="L12" s="167">
        <f>'F5'!J20</f>
        <v>188.83</v>
      </c>
      <c r="M12" s="126"/>
    </row>
    <row r="13" spans="2:13" ht="15" x14ac:dyDescent="0.2">
      <c r="B13" s="2">
        <f t="shared" si="0"/>
        <v>4</v>
      </c>
      <c r="C13" s="18" t="s">
        <v>37</v>
      </c>
      <c r="D13" s="2" t="s">
        <v>205</v>
      </c>
      <c r="E13" s="16" t="s">
        <v>30</v>
      </c>
      <c r="F13" s="167">
        <f>'F6'!D19</f>
        <v>61.34</v>
      </c>
      <c r="G13" s="167">
        <f ca="1">'F6'!E19</f>
        <v>62.76</v>
      </c>
      <c r="H13" s="167">
        <f ca="1">'F6'!F19</f>
        <v>62.76</v>
      </c>
      <c r="I13" s="167">
        <f>'F6'!G19</f>
        <v>62.76</v>
      </c>
      <c r="J13" s="167">
        <f ca="1">'F6'!H19</f>
        <v>62.57</v>
      </c>
      <c r="K13" s="167">
        <f>'F6'!I19</f>
        <v>63.13</v>
      </c>
      <c r="L13" s="167">
        <f ca="1">'F6'!J19</f>
        <v>62.19</v>
      </c>
      <c r="M13" s="126"/>
    </row>
    <row r="14" spans="2:13" ht="15" x14ac:dyDescent="0.2">
      <c r="B14" s="2">
        <f t="shared" si="0"/>
        <v>5</v>
      </c>
      <c r="C14" s="3" t="s">
        <v>234</v>
      </c>
      <c r="D14" s="2" t="s">
        <v>205</v>
      </c>
      <c r="E14" s="16" t="s">
        <v>31</v>
      </c>
      <c r="F14" s="167">
        <f>'F7'!D21</f>
        <v>243.82</v>
      </c>
      <c r="G14" s="167">
        <f>'F7'!E21</f>
        <v>317.57</v>
      </c>
      <c r="H14" s="167">
        <f>'F7'!F21</f>
        <v>317.57</v>
      </c>
      <c r="I14" s="167">
        <f>'F7'!G21</f>
        <v>328.62</v>
      </c>
      <c r="J14" s="167">
        <f>'F7'!H21</f>
        <v>317.66000000000003</v>
      </c>
      <c r="K14" s="167">
        <f>'F7'!I21</f>
        <v>328.62</v>
      </c>
      <c r="L14" s="167">
        <f>'F7'!J21</f>
        <v>317.77999999999997</v>
      </c>
      <c r="M14" s="126"/>
    </row>
    <row r="15" spans="2:13" ht="15" x14ac:dyDescent="0.2">
      <c r="B15" s="2">
        <f t="shared" si="0"/>
        <v>6</v>
      </c>
      <c r="C15" s="3" t="s">
        <v>38</v>
      </c>
      <c r="D15" s="2" t="s">
        <v>205</v>
      </c>
      <c r="E15" s="16" t="s">
        <v>32</v>
      </c>
      <c r="F15" s="167">
        <f>'F8'!D28</f>
        <v>10.83</v>
      </c>
      <c r="G15" s="167">
        <f>'F8'!E28</f>
        <v>12.92</v>
      </c>
      <c r="H15" s="167">
        <f>G15</f>
        <v>12.92</v>
      </c>
      <c r="I15" s="167">
        <f>'F8'!G28</f>
        <v>11.27</v>
      </c>
      <c r="J15" s="167">
        <f>'F8'!H28</f>
        <v>13.7</v>
      </c>
      <c r="K15" s="167">
        <f>'F8'!I28</f>
        <v>11.72</v>
      </c>
      <c r="L15" s="167">
        <f>'F8'!J28</f>
        <v>14.25</v>
      </c>
      <c r="M15" s="126"/>
    </row>
    <row r="16" spans="2:13" ht="15" x14ac:dyDescent="0.2">
      <c r="B16" s="14">
        <f t="shared" si="0"/>
        <v>7</v>
      </c>
      <c r="C16" s="19" t="s">
        <v>235</v>
      </c>
      <c r="D16" s="14" t="s">
        <v>205</v>
      </c>
      <c r="E16" s="16"/>
      <c r="F16" s="167">
        <f>SUM(F10:F14)-F15</f>
        <v>1205.8000000000002</v>
      </c>
      <c r="G16" s="167">
        <f ca="1">SUM(G10:G14)-G15</f>
        <v>1299.5</v>
      </c>
      <c r="H16" s="167">
        <f t="shared" ref="H16:J16" ca="1" si="1">SUM(H10:H14)-H15</f>
        <v>1299.5</v>
      </c>
      <c r="I16" s="167">
        <f t="shared" si="1"/>
        <v>1300.22</v>
      </c>
      <c r="J16" s="167">
        <f t="shared" ca="1" si="1"/>
        <v>1311.3500000000001</v>
      </c>
      <c r="K16" s="167">
        <f>SUM(K10:K14)-K15</f>
        <v>1310.1299999999999</v>
      </c>
      <c r="L16" s="167">
        <f t="shared" ref="L16" ca="1" si="2">SUM(L10:L14)-L15</f>
        <v>1318.1699999999998</v>
      </c>
      <c r="M16" s="126"/>
    </row>
    <row r="17" spans="2:13" ht="15" x14ac:dyDescent="0.2">
      <c r="B17" s="14" t="s">
        <v>71</v>
      </c>
      <c r="C17" s="14" t="s">
        <v>236</v>
      </c>
      <c r="D17" s="16"/>
      <c r="E17" s="16"/>
      <c r="F17" s="127"/>
      <c r="G17" s="127"/>
      <c r="H17" s="127"/>
      <c r="I17" s="127"/>
      <c r="J17" s="127"/>
      <c r="K17" s="127"/>
      <c r="L17" s="127"/>
      <c r="M17" s="3"/>
    </row>
    <row r="18" spans="2:13" ht="15" x14ac:dyDescent="0.2">
      <c r="B18" s="2">
        <v>1</v>
      </c>
      <c r="C18" s="16" t="s">
        <v>237</v>
      </c>
      <c r="D18" s="2" t="s">
        <v>204</v>
      </c>
      <c r="E18" s="16" t="s">
        <v>164</v>
      </c>
      <c r="F18" s="170">
        <f>'F12'!E19</f>
        <v>3.6204306823707548</v>
      </c>
      <c r="G18" s="170">
        <f>'F12'!F19</f>
        <v>3.4556144387349055</v>
      </c>
      <c r="H18" s="170">
        <f>'F12'!G19</f>
        <v>3.4556144387349055</v>
      </c>
      <c r="I18" s="170">
        <f>'F12'!H19</f>
        <v>3.4980000000000002</v>
      </c>
      <c r="J18" s="170">
        <f>'F12'!I19</f>
        <v>3.4980000000000002</v>
      </c>
      <c r="K18" s="170">
        <f>'F12'!J19</f>
        <v>3.4340000000000002</v>
      </c>
      <c r="L18" s="170">
        <f>'F12'!K19</f>
        <v>3.4340000000000002</v>
      </c>
      <c r="M18" s="3"/>
    </row>
    <row r="19" spans="2:13" ht="15" x14ac:dyDescent="0.2">
      <c r="B19" s="2">
        <f>B18+1</f>
        <v>2</v>
      </c>
      <c r="C19" s="16" t="s">
        <v>238</v>
      </c>
      <c r="D19" s="2" t="s">
        <v>45</v>
      </c>
      <c r="E19" s="16" t="s">
        <v>34</v>
      </c>
      <c r="F19" s="167">
        <f>G19</f>
        <v>5288.9838014172001</v>
      </c>
      <c r="G19" s="167">
        <f>'F10'!F30</f>
        <v>5288.9838014172001</v>
      </c>
      <c r="H19" s="167">
        <f>'F10'!G30</f>
        <v>5288.9838014172001</v>
      </c>
      <c r="I19" s="167">
        <f>J19</f>
        <v>4915.6866410000002</v>
      </c>
      <c r="J19" s="167">
        <f>'F10'!I23</f>
        <v>4915.6866410000002</v>
      </c>
      <c r="K19" s="167">
        <f>L19</f>
        <v>5644.07</v>
      </c>
      <c r="L19" s="167">
        <f>'F10'!K23</f>
        <v>5644.07</v>
      </c>
      <c r="M19" s="3"/>
    </row>
    <row r="20" spans="2:13" ht="15" x14ac:dyDescent="0.2">
      <c r="B20" s="2">
        <f>B19+1</f>
        <v>3</v>
      </c>
      <c r="C20" s="16" t="s">
        <v>236</v>
      </c>
      <c r="D20" s="2" t="s">
        <v>205</v>
      </c>
      <c r="E20" s="16"/>
      <c r="F20" s="167">
        <f>F18*F19/10</f>
        <v>1914.8399233212742</v>
      </c>
      <c r="G20" s="167">
        <f t="shared" ref="G20:L20" si="3">G18*G19/10</f>
        <v>1827.6688790412304</v>
      </c>
      <c r="H20" s="167">
        <f t="shared" si="3"/>
        <v>1827.6688790412304</v>
      </c>
      <c r="I20" s="167">
        <f t="shared" si="3"/>
        <v>1719.5071870218003</v>
      </c>
      <c r="J20" s="167">
        <f t="shared" si="3"/>
        <v>1719.5071870218003</v>
      </c>
      <c r="K20" s="167">
        <f t="shared" si="3"/>
        <v>1938.1736379999998</v>
      </c>
      <c r="L20" s="167">
        <f t="shared" si="3"/>
        <v>1938.1736379999998</v>
      </c>
      <c r="M20" s="3"/>
    </row>
    <row r="21" spans="2:13" ht="15" x14ac:dyDescent="0.2">
      <c r="B21" s="14" t="s">
        <v>72</v>
      </c>
      <c r="C21" s="14" t="s">
        <v>394</v>
      </c>
      <c r="D21" s="2" t="s">
        <v>205</v>
      </c>
      <c r="E21" s="3"/>
      <c r="F21" s="171">
        <f>F16+F20</f>
        <v>3120.6399233212742</v>
      </c>
      <c r="G21" s="167">
        <f t="shared" ref="G21:L21" ca="1" si="4">G16+G20</f>
        <v>3127.1688790412304</v>
      </c>
      <c r="H21" s="167">
        <f t="shared" ca="1" si="4"/>
        <v>3127.1688790412304</v>
      </c>
      <c r="I21" s="167">
        <f t="shared" si="4"/>
        <v>3019.7271870218001</v>
      </c>
      <c r="J21" s="167">
        <f t="shared" ca="1" si="4"/>
        <v>3030.8571870218002</v>
      </c>
      <c r="K21" s="167">
        <f t="shared" si="4"/>
        <v>3248.3036379999994</v>
      </c>
      <c r="L21" s="167">
        <f t="shared" ca="1" si="4"/>
        <v>3256.3436379999994</v>
      </c>
      <c r="M21" s="3"/>
    </row>
    <row r="22" spans="2:13" x14ac:dyDescent="0.2">
      <c r="F22" s="141"/>
    </row>
  </sheetData>
  <mergeCells count="8">
    <mergeCell ref="D6:D8"/>
    <mergeCell ref="B6:B8"/>
    <mergeCell ref="C6:C8"/>
    <mergeCell ref="E6:E8"/>
    <mergeCell ref="M6:M8"/>
    <mergeCell ref="F6:H6"/>
    <mergeCell ref="I6:J6"/>
    <mergeCell ref="K6:L6"/>
  </mergeCells>
  <pageMargins left="0.23" right="0.23" top="0.92" bottom="1" header="0.5" footer="0.5"/>
  <pageSetup paperSize="9" scale="88" orientation="landscape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P31"/>
  <sheetViews>
    <sheetView showGridLines="0" view="pageBreakPreview" zoomScale="81" zoomScaleNormal="93" zoomScaleSheetLayoutView="81" workbookViewId="0">
      <selection activeCell="O22" sqref="O22"/>
    </sheetView>
  </sheetViews>
  <sheetFormatPr defaultColWidth="9.28515625" defaultRowHeight="14.25" x14ac:dyDescent="0.2"/>
  <cols>
    <col min="1" max="1" width="4.28515625" style="5" customWidth="1"/>
    <col min="2" max="2" width="30.42578125" style="5" customWidth="1"/>
    <col min="3" max="15" width="10.7109375" style="5" customWidth="1"/>
    <col min="16" max="16384" width="9.28515625" style="5"/>
  </cols>
  <sheetData>
    <row r="1" spans="2:16" ht="15" x14ac:dyDescent="0.2">
      <c r="B1" s="97"/>
    </row>
    <row r="2" spans="2:16" ht="15" x14ac:dyDescent="0.2">
      <c r="I2" s="32" t="s">
        <v>401</v>
      </c>
    </row>
    <row r="3" spans="2:16" ht="15" x14ac:dyDescent="0.2">
      <c r="I3" s="32" t="s">
        <v>467</v>
      </c>
    </row>
    <row r="4" spans="2:16" ht="15" x14ac:dyDescent="0.2">
      <c r="C4" s="72"/>
      <c r="D4" s="72"/>
      <c r="E4" s="72"/>
      <c r="F4" s="72"/>
      <c r="G4" s="72"/>
      <c r="H4" s="72"/>
      <c r="I4" s="35" t="s">
        <v>365</v>
      </c>
    </row>
    <row r="5" spans="2:16" ht="15" x14ac:dyDescent="0.2">
      <c r="B5" s="24" t="s">
        <v>403</v>
      </c>
      <c r="C5" s="72"/>
      <c r="D5" s="72"/>
      <c r="E5" s="72"/>
      <c r="F5" s="72"/>
      <c r="G5" s="72"/>
      <c r="H5" s="72"/>
      <c r="I5" s="72"/>
      <c r="J5" s="72"/>
      <c r="K5" s="72"/>
      <c r="L5" s="72"/>
      <c r="M5" s="72"/>
      <c r="N5" s="72"/>
      <c r="O5" s="35"/>
    </row>
    <row r="6" spans="2:16" ht="15" customHeight="1" x14ac:dyDescent="0.2">
      <c r="B6" s="331" t="s">
        <v>366</v>
      </c>
      <c r="C6" s="372" t="s">
        <v>153</v>
      </c>
      <c r="D6" s="346"/>
      <c r="E6" s="346"/>
      <c r="F6" s="346"/>
      <c r="G6" s="346"/>
      <c r="H6" s="346"/>
      <c r="I6" s="346"/>
      <c r="J6" s="346"/>
      <c r="K6" s="346"/>
      <c r="L6" s="346"/>
      <c r="M6" s="346"/>
      <c r="N6" s="347"/>
      <c r="O6" s="248" t="s">
        <v>154</v>
      </c>
      <c r="P6" s="86"/>
    </row>
    <row r="7" spans="2:16" ht="15" x14ac:dyDescent="0.2">
      <c r="B7" s="333"/>
      <c r="C7" s="248" t="s">
        <v>141</v>
      </c>
      <c r="D7" s="248" t="s">
        <v>142</v>
      </c>
      <c r="E7" s="249" t="s">
        <v>143</v>
      </c>
      <c r="F7" s="249" t="s">
        <v>144</v>
      </c>
      <c r="G7" s="249" t="s">
        <v>145</v>
      </c>
      <c r="H7" s="249" t="s">
        <v>146</v>
      </c>
      <c r="I7" s="249" t="s">
        <v>147</v>
      </c>
      <c r="J7" s="249" t="s">
        <v>148</v>
      </c>
      <c r="K7" s="249" t="s">
        <v>149</v>
      </c>
      <c r="L7" s="249" t="s">
        <v>150</v>
      </c>
      <c r="M7" s="249" t="s">
        <v>151</v>
      </c>
      <c r="N7" s="249" t="s">
        <v>152</v>
      </c>
      <c r="O7" s="250"/>
    </row>
    <row r="8" spans="2:16" s="32" customFormat="1" ht="15" x14ac:dyDescent="0.2">
      <c r="B8" s="159" t="s">
        <v>459</v>
      </c>
      <c r="C8" s="251">
        <f>465.884689*0.7055</f>
        <v>328.68164808950002</v>
      </c>
      <c r="D8" s="251">
        <f>487.557008*0.7055</f>
        <v>343.97146914400003</v>
      </c>
      <c r="E8" s="251">
        <f>485.100502*0.7055</f>
        <v>342.23840416100001</v>
      </c>
      <c r="F8" s="251">
        <f>437.2*0.7055</f>
        <v>308.44459999999998</v>
      </c>
      <c r="G8" s="251">
        <f>504.12*0.7055</f>
        <v>355.65665999999999</v>
      </c>
      <c r="H8" s="251">
        <f>362.98*0.7055</f>
        <v>256.08239000000003</v>
      </c>
      <c r="I8" s="251">
        <f>375.7*0.7055</f>
        <v>265.05635000000001</v>
      </c>
      <c r="J8" s="251">
        <f>379.702299*0.7055</f>
        <v>267.87997194449997</v>
      </c>
      <c r="K8" s="251">
        <f>430.63*0.7055</f>
        <v>303.80946499999999</v>
      </c>
      <c r="L8" s="251">
        <f>425.94*0.7055</f>
        <v>300.50067000000001</v>
      </c>
      <c r="M8" s="251">
        <f>403.23*0.7055</f>
        <v>284.47876500000001</v>
      </c>
      <c r="N8" s="251">
        <f>530.92*0.7055</f>
        <v>374.56405999999998</v>
      </c>
      <c r="O8" s="252">
        <f>SUM(C8:N8)</f>
        <v>3731.3644533389997</v>
      </c>
    </row>
    <row r="9" spans="2:16" s="32" customFormat="1" ht="15" x14ac:dyDescent="0.2">
      <c r="B9" s="159"/>
      <c r="C9" s="252"/>
      <c r="D9" s="252"/>
      <c r="E9" s="252"/>
      <c r="F9" s="252"/>
      <c r="G9" s="252"/>
      <c r="H9" s="252"/>
      <c r="I9" s="251"/>
      <c r="J9" s="251"/>
      <c r="K9" s="251"/>
      <c r="L9" s="251"/>
      <c r="M9" s="251"/>
      <c r="N9" s="251"/>
      <c r="O9" s="252"/>
    </row>
    <row r="10" spans="2:16" s="32" customFormat="1" ht="15" x14ac:dyDescent="0.2">
      <c r="B10" s="159" t="s">
        <v>460</v>
      </c>
      <c r="C10" s="251">
        <f>465.884689*0.2945</f>
        <v>137.20304091049999</v>
      </c>
      <c r="D10" s="251">
        <f>487.557008*0.2945</f>
        <v>143.585538856</v>
      </c>
      <c r="E10" s="251">
        <f>485.100502*0.2945</f>
        <v>142.862097839</v>
      </c>
      <c r="F10" s="251">
        <f>437.2*0.2945</f>
        <v>128.75539999999998</v>
      </c>
      <c r="G10" s="251">
        <f>504.12*29.45/100</f>
        <v>148.46333999999999</v>
      </c>
      <c r="H10" s="251">
        <f>362.98*0.2945</f>
        <v>106.89761</v>
      </c>
      <c r="I10" s="251">
        <f>375.7*0.2945</f>
        <v>110.64364999999999</v>
      </c>
      <c r="J10" s="251">
        <f>379.702299*0.2945</f>
        <v>111.82232705549998</v>
      </c>
      <c r="K10" s="251">
        <f>430.63*0.2945</f>
        <v>126.82053499999999</v>
      </c>
      <c r="L10" s="251">
        <f>425.94*0.2945</f>
        <v>125.43933</v>
      </c>
      <c r="M10" s="251">
        <f>403.23*0.2945</f>
        <v>118.75123499999999</v>
      </c>
      <c r="N10" s="251">
        <f>530.92*0.2945</f>
        <v>156.35593999999998</v>
      </c>
      <c r="O10" s="252">
        <f>SUM(C10:N10)</f>
        <v>1557.6000446609999</v>
      </c>
    </row>
    <row r="11" spans="2:16" s="32" customFormat="1" ht="15" x14ac:dyDescent="0.2">
      <c r="B11" s="253"/>
      <c r="C11" s="180"/>
      <c r="D11" s="180"/>
      <c r="E11" s="180"/>
      <c r="F11" s="180"/>
      <c r="G11" s="180"/>
      <c r="H11" s="180"/>
      <c r="I11" s="180"/>
      <c r="J11" s="180"/>
      <c r="K11" s="180"/>
      <c r="L11" s="180"/>
      <c r="M11" s="180"/>
      <c r="N11" s="180"/>
      <c r="O11" s="180"/>
    </row>
    <row r="12" spans="2:16" ht="15" x14ac:dyDescent="0.2">
      <c r="B12" s="180" t="s">
        <v>139</v>
      </c>
      <c r="C12" s="254">
        <f>C8+C10</f>
        <v>465.88468899999998</v>
      </c>
      <c r="D12" s="254">
        <f t="shared" ref="D12:N12" si="0">D8+D10</f>
        <v>487.557008</v>
      </c>
      <c r="E12" s="254">
        <f t="shared" si="0"/>
        <v>485.10050200000001</v>
      </c>
      <c r="F12" s="254">
        <f t="shared" si="0"/>
        <v>437.19999999999993</v>
      </c>
      <c r="G12" s="254">
        <f t="shared" si="0"/>
        <v>504.12</v>
      </c>
      <c r="H12" s="254">
        <f>H8+H10</f>
        <v>362.98</v>
      </c>
      <c r="I12" s="254">
        <f t="shared" si="0"/>
        <v>375.7</v>
      </c>
      <c r="J12" s="254">
        <f t="shared" si="0"/>
        <v>379.70229899999993</v>
      </c>
      <c r="K12" s="254">
        <f t="shared" si="0"/>
        <v>430.63</v>
      </c>
      <c r="L12" s="254">
        <f>L8+L10</f>
        <v>425.94</v>
      </c>
      <c r="M12" s="254">
        <f t="shared" si="0"/>
        <v>403.23</v>
      </c>
      <c r="N12" s="254">
        <f t="shared" si="0"/>
        <v>530.91999999999996</v>
      </c>
      <c r="O12" s="254">
        <f>O8+O10</f>
        <v>5288.9644979999994</v>
      </c>
    </row>
    <row r="14" spans="2:16" ht="15" x14ac:dyDescent="0.2">
      <c r="B14" s="24"/>
      <c r="C14" s="72"/>
      <c r="D14" s="72"/>
      <c r="E14" s="72"/>
      <c r="F14" s="72"/>
      <c r="G14" s="72"/>
      <c r="H14" s="72"/>
      <c r="I14" s="72"/>
      <c r="J14" s="72"/>
      <c r="K14" s="72"/>
      <c r="L14" s="72"/>
      <c r="M14" s="72"/>
      <c r="N14" s="72"/>
      <c r="O14" s="35"/>
    </row>
    <row r="15" spans="2:16" ht="18.75" customHeight="1" x14ac:dyDescent="0.2">
      <c r="B15" s="24" t="s">
        <v>404</v>
      </c>
      <c r="C15" s="72"/>
      <c r="D15" s="72"/>
      <c r="E15" s="72"/>
      <c r="F15" s="72"/>
      <c r="G15" s="72"/>
      <c r="H15" s="72"/>
      <c r="I15" s="35"/>
    </row>
    <row r="16" spans="2:16" ht="15" x14ac:dyDescent="0.2">
      <c r="B16" s="178"/>
      <c r="C16" s="372" t="s">
        <v>153</v>
      </c>
      <c r="D16" s="346"/>
      <c r="E16" s="346"/>
      <c r="F16" s="346"/>
      <c r="G16" s="346"/>
      <c r="H16" s="347"/>
      <c r="I16" s="373" t="s">
        <v>5</v>
      </c>
      <c r="J16" s="374"/>
      <c r="K16" s="374"/>
      <c r="L16" s="374"/>
      <c r="M16" s="374"/>
      <c r="N16" s="375"/>
      <c r="O16" s="25" t="s">
        <v>140</v>
      </c>
    </row>
    <row r="17" spans="2:15" ht="15" x14ac:dyDescent="0.2">
      <c r="B17" s="248" t="s">
        <v>366</v>
      </c>
      <c r="C17" s="248" t="s">
        <v>141</v>
      </c>
      <c r="D17" s="248" t="s">
        <v>142</v>
      </c>
      <c r="E17" s="249" t="s">
        <v>143</v>
      </c>
      <c r="F17" s="249" t="s">
        <v>144</v>
      </c>
      <c r="G17" s="249" t="s">
        <v>145</v>
      </c>
      <c r="H17" s="249" t="s">
        <v>146</v>
      </c>
      <c r="I17" s="249" t="s">
        <v>147</v>
      </c>
      <c r="J17" s="249" t="s">
        <v>148</v>
      </c>
      <c r="K17" s="249" t="s">
        <v>149</v>
      </c>
      <c r="L17" s="249" t="s">
        <v>150</v>
      </c>
      <c r="M17" s="249" t="s">
        <v>151</v>
      </c>
      <c r="N17" s="249" t="s">
        <v>152</v>
      </c>
      <c r="O17" s="249" t="s">
        <v>139</v>
      </c>
    </row>
    <row r="18" spans="2:15" ht="15" x14ac:dyDescent="0.2">
      <c r="B18" s="159" t="s">
        <v>459</v>
      </c>
      <c r="C18" s="251">
        <f>435.73*0.7055</f>
        <v>307.40751500000005</v>
      </c>
      <c r="D18" s="251">
        <f>366.58*0.7055</f>
        <v>258.62218999999999</v>
      </c>
      <c r="E18" s="251">
        <f>332.5*0.7055</f>
        <v>234.57875000000001</v>
      </c>
      <c r="F18" s="251">
        <f>133.42*0.7055</f>
        <v>94.127809999999997</v>
      </c>
      <c r="G18" s="251">
        <f>328.03*0.7055</f>
        <v>231.42516499999999</v>
      </c>
      <c r="H18" s="251">
        <f>339.58*0.7055</f>
        <v>239.57369</v>
      </c>
      <c r="I18" s="251">
        <f>507.56*0.7055</f>
        <v>358.08357999999998</v>
      </c>
      <c r="J18" s="251">
        <f>491.18*0.7055</f>
        <v>346.52749</v>
      </c>
      <c r="K18" s="251">
        <f>507.56*0.7055</f>
        <v>358.08357999999998</v>
      </c>
      <c r="L18" s="251">
        <f>507.56*0.7055</f>
        <v>358.08357999999998</v>
      </c>
      <c r="M18" s="251">
        <f>458.44*0.7055</f>
        <v>323.42941999999999</v>
      </c>
      <c r="N18" s="251">
        <f>507.56*0.7055</f>
        <v>358.08357999999998</v>
      </c>
      <c r="O18" s="251">
        <f>SUM(C18:N18)</f>
        <v>3468.0263500000001</v>
      </c>
    </row>
    <row r="19" spans="2:15" ht="15" x14ac:dyDescent="0.2">
      <c r="B19" s="159"/>
      <c r="C19" s="252"/>
      <c r="D19" s="252"/>
      <c r="E19" s="252"/>
      <c r="F19" s="252"/>
      <c r="G19" s="252"/>
      <c r="H19" s="252"/>
      <c r="I19" s="251"/>
      <c r="J19" s="251"/>
      <c r="K19" s="251"/>
      <c r="L19" s="251"/>
      <c r="M19" s="251"/>
      <c r="N19" s="251"/>
      <c r="O19" s="252"/>
    </row>
    <row r="20" spans="2:15" ht="15" x14ac:dyDescent="0.2">
      <c r="B20" s="159" t="s">
        <v>460</v>
      </c>
      <c r="C20" s="251">
        <f>435.73*0.2945</f>
        <v>128.322485</v>
      </c>
      <c r="D20" s="251">
        <f>366.58*0.2945</f>
        <v>107.95780999999999</v>
      </c>
      <c r="E20" s="251">
        <f>332.5*0.2945</f>
        <v>97.921250000000001</v>
      </c>
      <c r="F20" s="251">
        <f>133.42*0.2945</f>
        <v>39.292189999999991</v>
      </c>
      <c r="G20" s="251">
        <f>328.03*0.2945</f>
        <v>96.60483499999998</v>
      </c>
      <c r="H20" s="251">
        <f>339.58*0.2945</f>
        <v>100.00630999999998</v>
      </c>
      <c r="I20" s="251">
        <f>507.56*0.2945</f>
        <v>149.47641999999999</v>
      </c>
      <c r="J20" s="251">
        <f>491.18*0.2945</f>
        <v>144.65251000000001</v>
      </c>
      <c r="K20" s="251">
        <f>507.56*0.2945</f>
        <v>149.47641999999999</v>
      </c>
      <c r="L20" s="251">
        <f>507.56*0.2945</f>
        <v>149.47641999999999</v>
      </c>
      <c r="M20" s="251">
        <f>458.44*0.2945</f>
        <v>135.01058</v>
      </c>
      <c r="N20" s="251">
        <f>507.56*0.2945</f>
        <v>149.47641999999999</v>
      </c>
      <c r="O20" s="251">
        <f>SUM(C20:N20)</f>
        <v>1447.6736499999997</v>
      </c>
    </row>
    <row r="21" spans="2:15" x14ac:dyDescent="0.2">
      <c r="B21" s="253"/>
      <c r="C21" s="255"/>
      <c r="D21" s="255"/>
      <c r="E21" s="255"/>
      <c r="F21" s="255"/>
      <c r="G21" s="255"/>
      <c r="H21" s="255"/>
      <c r="I21" s="255"/>
      <c r="J21" s="255"/>
      <c r="K21" s="255"/>
      <c r="L21" s="255"/>
      <c r="M21" s="255"/>
      <c r="N21" s="255"/>
      <c r="O21" s="255"/>
    </row>
    <row r="22" spans="2:15" ht="15" x14ac:dyDescent="0.2">
      <c r="B22" s="180" t="s">
        <v>139</v>
      </c>
      <c r="C22" s="254">
        <f>C18+C20</f>
        <v>435.73</v>
      </c>
      <c r="D22" s="254">
        <f t="shared" ref="D22:N22" si="1">D18+D20</f>
        <v>366.58</v>
      </c>
      <c r="E22" s="254">
        <f t="shared" si="1"/>
        <v>332.5</v>
      </c>
      <c r="F22" s="254">
        <f t="shared" si="1"/>
        <v>133.41999999999999</v>
      </c>
      <c r="G22" s="254">
        <f t="shared" si="1"/>
        <v>328.03</v>
      </c>
      <c r="H22" s="254">
        <f t="shared" si="1"/>
        <v>339.58</v>
      </c>
      <c r="I22" s="254">
        <f t="shared" si="1"/>
        <v>507.55999999999995</v>
      </c>
      <c r="J22" s="254">
        <f t="shared" si="1"/>
        <v>491.18</v>
      </c>
      <c r="K22" s="254">
        <f>K18+K20</f>
        <v>507.55999999999995</v>
      </c>
      <c r="L22" s="254">
        <f t="shared" si="1"/>
        <v>507.55999999999995</v>
      </c>
      <c r="M22" s="254">
        <f t="shared" si="1"/>
        <v>458.44</v>
      </c>
      <c r="N22" s="254">
        <f t="shared" si="1"/>
        <v>507.55999999999995</v>
      </c>
      <c r="O22" s="254">
        <f>O18+O20</f>
        <v>4915.7</v>
      </c>
    </row>
    <row r="24" spans="2:15" ht="15" x14ac:dyDescent="0.2">
      <c r="B24" s="24" t="s">
        <v>465</v>
      </c>
      <c r="C24" s="72"/>
      <c r="D24" s="72"/>
      <c r="E24" s="72"/>
      <c r="F24" s="72"/>
      <c r="G24" s="72"/>
      <c r="H24" s="72"/>
      <c r="I24" s="35"/>
    </row>
    <row r="25" spans="2:15" ht="15" x14ac:dyDescent="0.2">
      <c r="B25" s="24" t="s">
        <v>489</v>
      </c>
      <c r="C25" s="25"/>
      <c r="D25" s="25"/>
      <c r="O25" s="25" t="s">
        <v>140</v>
      </c>
    </row>
    <row r="26" spans="2:15" ht="15" x14ac:dyDescent="0.2">
      <c r="B26" s="248" t="s">
        <v>366</v>
      </c>
      <c r="C26" s="248" t="s">
        <v>141</v>
      </c>
      <c r="D26" s="248" t="s">
        <v>142</v>
      </c>
      <c r="E26" s="249" t="s">
        <v>143</v>
      </c>
      <c r="F26" s="249" t="s">
        <v>144</v>
      </c>
      <c r="G26" s="249" t="s">
        <v>145</v>
      </c>
      <c r="H26" s="249" t="s">
        <v>146</v>
      </c>
      <c r="I26" s="249" t="s">
        <v>147</v>
      </c>
      <c r="J26" s="249" t="s">
        <v>148</v>
      </c>
      <c r="K26" s="249" t="s">
        <v>149</v>
      </c>
      <c r="L26" s="249" t="s">
        <v>150</v>
      </c>
      <c r="M26" s="249" t="s">
        <v>151</v>
      </c>
      <c r="N26" s="249" t="s">
        <v>152</v>
      </c>
      <c r="O26" s="249" t="s">
        <v>139</v>
      </c>
    </row>
    <row r="27" spans="2:15" ht="15" x14ac:dyDescent="0.2">
      <c r="B27" s="159" t="s">
        <v>459</v>
      </c>
      <c r="C27" s="251">
        <f>463.9*0.7055</f>
        <v>327.28145000000001</v>
      </c>
      <c r="D27" s="251">
        <f>479.36*0.7055</f>
        <v>338.18848000000003</v>
      </c>
      <c r="E27" s="251">
        <f>463.9*0.7055</f>
        <v>327.28145000000001</v>
      </c>
      <c r="F27" s="251">
        <f t="shared" ref="F27:G27" si="2">479.36*0.7055</f>
        <v>338.18848000000003</v>
      </c>
      <c r="G27" s="251">
        <f t="shared" si="2"/>
        <v>338.18848000000003</v>
      </c>
      <c r="H27" s="251">
        <f>463.9*0.7055</f>
        <v>327.28145000000001</v>
      </c>
      <c r="I27" s="251">
        <f>479.36*0.7055</f>
        <v>338.18848000000003</v>
      </c>
      <c r="J27" s="251">
        <f>463.9*0.7055</f>
        <v>327.28145000000001</v>
      </c>
      <c r="K27" s="251">
        <f>479.36*0.7055</f>
        <v>338.18848000000003</v>
      </c>
      <c r="L27" s="251">
        <f>479.36*0.7055</f>
        <v>338.18848000000003</v>
      </c>
      <c r="M27" s="251">
        <f>432.97*0.7055</f>
        <v>305.46033500000004</v>
      </c>
      <c r="N27" s="251">
        <f>479.36*0.7055</f>
        <v>338.18848000000003</v>
      </c>
      <c r="O27" s="251">
        <f>SUM(C27:N27)</f>
        <v>3981.905495</v>
      </c>
    </row>
    <row r="28" spans="2:15" ht="15" x14ac:dyDescent="0.2">
      <c r="B28" s="159"/>
      <c r="C28" s="252"/>
      <c r="D28" s="252"/>
      <c r="E28" s="252"/>
      <c r="F28" s="252"/>
      <c r="G28" s="252"/>
      <c r="H28" s="252"/>
      <c r="I28" s="252"/>
      <c r="J28" s="252"/>
      <c r="K28" s="252"/>
      <c r="L28" s="252"/>
      <c r="M28" s="252"/>
      <c r="N28" s="252"/>
      <c r="O28" s="251"/>
    </row>
    <row r="29" spans="2:15" ht="15" x14ac:dyDescent="0.2">
      <c r="B29" s="159" t="s">
        <v>460</v>
      </c>
      <c r="C29" s="251">
        <f>463.9*0.2945</f>
        <v>136.61855</v>
      </c>
      <c r="D29" s="251">
        <f>479.36*0.2945</f>
        <v>141.17151999999999</v>
      </c>
      <c r="E29" s="251">
        <f>463.9*0.2945</f>
        <v>136.61855</v>
      </c>
      <c r="F29" s="251">
        <f t="shared" ref="F29:G29" si="3">479.36*0.2945</f>
        <v>141.17151999999999</v>
      </c>
      <c r="G29" s="251">
        <f t="shared" si="3"/>
        <v>141.17151999999999</v>
      </c>
      <c r="H29" s="251">
        <f>463.9*0.2945</f>
        <v>136.61855</v>
      </c>
      <c r="I29" s="251">
        <f>479.36*0.2945</f>
        <v>141.17151999999999</v>
      </c>
      <c r="J29" s="251">
        <f>463.9*0.2945</f>
        <v>136.61855</v>
      </c>
      <c r="K29" s="251">
        <f>479.36*0.2945</f>
        <v>141.17151999999999</v>
      </c>
      <c r="L29" s="251">
        <f>479.36*0.2945</f>
        <v>141.17151999999999</v>
      </c>
      <c r="M29" s="251">
        <f>432.97*0.2945</f>
        <v>127.509665</v>
      </c>
      <c r="N29" s="251">
        <f>479.36*0.2945</f>
        <v>141.17151999999999</v>
      </c>
      <c r="O29" s="251">
        <f>SUM(C29:N29)</f>
        <v>1662.1845049999997</v>
      </c>
    </row>
    <row r="30" spans="2:15" x14ac:dyDescent="0.2">
      <c r="B30" s="253"/>
      <c r="C30" s="255"/>
      <c r="D30" s="255"/>
      <c r="E30" s="255"/>
      <c r="F30" s="255"/>
      <c r="G30" s="255"/>
      <c r="H30" s="255"/>
      <c r="I30" s="255"/>
      <c r="J30" s="255"/>
      <c r="K30" s="255"/>
      <c r="L30" s="255"/>
      <c r="M30" s="255"/>
      <c r="N30" s="255"/>
      <c r="O30" s="255"/>
    </row>
    <row r="31" spans="2:15" ht="15" x14ac:dyDescent="0.2">
      <c r="B31" s="180" t="s">
        <v>139</v>
      </c>
      <c r="C31" s="254">
        <f>C27+C29</f>
        <v>463.9</v>
      </c>
      <c r="D31" s="254">
        <f t="shared" ref="D31:M31" si="4">D27+D29</f>
        <v>479.36</v>
      </c>
      <c r="E31" s="254">
        <f t="shared" si="4"/>
        <v>463.9</v>
      </c>
      <c r="F31" s="254">
        <f t="shared" si="4"/>
        <v>479.36</v>
      </c>
      <c r="G31" s="254">
        <f t="shared" si="4"/>
        <v>479.36</v>
      </c>
      <c r="H31" s="254">
        <f t="shared" si="4"/>
        <v>463.9</v>
      </c>
      <c r="I31" s="254">
        <f t="shared" si="4"/>
        <v>479.36</v>
      </c>
      <c r="J31" s="254">
        <f t="shared" si="4"/>
        <v>463.9</v>
      </c>
      <c r="K31" s="254">
        <f t="shared" si="4"/>
        <v>479.36</v>
      </c>
      <c r="L31" s="254">
        <f t="shared" si="4"/>
        <v>479.36</v>
      </c>
      <c r="M31" s="254">
        <f t="shared" si="4"/>
        <v>432.97</v>
      </c>
      <c r="N31" s="254">
        <f>N27+N29</f>
        <v>479.36</v>
      </c>
      <c r="O31" s="254">
        <f t="shared" ref="O31" si="5">O27+O29</f>
        <v>5644.09</v>
      </c>
    </row>
  </sheetData>
  <mergeCells count="4">
    <mergeCell ref="B6:B7"/>
    <mergeCell ref="C6:N6"/>
    <mergeCell ref="C16:H16"/>
    <mergeCell ref="I16:N16"/>
  </mergeCells>
  <pageMargins left="0.13" right="0.33" top="1" bottom="0.37" header="0.5" footer="0.5"/>
  <pageSetup paperSize="9" scale="83" orientation="landscape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Q31"/>
  <sheetViews>
    <sheetView showGridLines="0" view="pageBreakPreview" topLeftCell="C17" zoomScaleNormal="93" zoomScaleSheetLayoutView="100" workbookViewId="0">
      <selection activeCell="R17" sqref="R17"/>
    </sheetView>
  </sheetViews>
  <sheetFormatPr defaultColWidth="9.28515625" defaultRowHeight="15" x14ac:dyDescent="0.2"/>
  <cols>
    <col min="1" max="1" width="2.42578125" style="13" customWidth="1"/>
    <col min="2" max="2" width="5" style="13" customWidth="1"/>
    <col min="3" max="3" width="40.5703125" style="13" customWidth="1"/>
    <col min="4" max="4" width="11.42578125" style="13" customWidth="1"/>
    <col min="5" max="5" width="9.85546875" style="13" customWidth="1"/>
    <col min="6" max="6" width="10.42578125" style="13" customWidth="1"/>
    <col min="7" max="7" width="9" style="13" customWidth="1"/>
    <col min="8" max="8" width="9.7109375" style="13" customWidth="1"/>
    <col min="9" max="9" width="10" style="13" customWidth="1"/>
    <col min="10" max="10" width="11.140625" style="13" customWidth="1"/>
    <col min="11" max="11" width="9.5703125" style="13" customWidth="1"/>
    <col min="12" max="12" width="11.85546875" style="13" customWidth="1"/>
    <col min="13" max="13" width="9.7109375" style="13" customWidth="1"/>
    <col min="14" max="15" width="9" style="13" customWidth="1"/>
    <col min="16" max="16" width="9.28515625" style="13" customWidth="1"/>
    <col min="17" max="17" width="12.42578125" style="36" customWidth="1"/>
    <col min="18" max="16384" width="9.28515625" style="13"/>
  </cols>
  <sheetData>
    <row r="1" spans="2:17" s="5" customFormat="1" ht="15" customHeight="1" x14ac:dyDescent="0.2">
      <c r="Q1" s="32"/>
    </row>
    <row r="2" spans="2:17" s="5" customFormat="1" ht="15" customHeight="1" x14ac:dyDescent="0.2">
      <c r="I2" s="32" t="s">
        <v>401</v>
      </c>
      <c r="Q2" s="32"/>
    </row>
    <row r="3" spans="2:17" s="5" customFormat="1" ht="15" customHeight="1" x14ac:dyDescent="0.2">
      <c r="I3" s="32" t="s">
        <v>467</v>
      </c>
      <c r="Q3" s="32"/>
    </row>
    <row r="4" spans="2:17" x14ac:dyDescent="0.2">
      <c r="B4" s="24" t="s">
        <v>403</v>
      </c>
      <c r="I4" s="35" t="s">
        <v>369</v>
      </c>
    </row>
    <row r="5" spans="2:17" x14ac:dyDescent="0.2">
      <c r="B5" s="36" t="s">
        <v>12</v>
      </c>
    </row>
    <row r="6" spans="2:17" ht="30" x14ac:dyDescent="0.2">
      <c r="B6" s="99" t="s">
        <v>193</v>
      </c>
      <c r="C6" s="99" t="s">
        <v>18</v>
      </c>
      <c r="D6" s="99" t="s">
        <v>39</v>
      </c>
      <c r="E6" s="31" t="s">
        <v>141</v>
      </c>
      <c r="F6" s="31" t="s">
        <v>142</v>
      </c>
      <c r="G6" s="98" t="s">
        <v>143</v>
      </c>
      <c r="H6" s="98" t="s">
        <v>144</v>
      </c>
      <c r="I6" s="98" t="s">
        <v>145</v>
      </c>
      <c r="J6" s="98" t="s">
        <v>146</v>
      </c>
      <c r="K6" s="98" t="s">
        <v>147</v>
      </c>
      <c r="L6" s="98" t="s">
        <v>148</v>
      </c>
      <c r="M6" s="98" t="s">
        <v>149</v>
      </c>
      <c r="N6" s="98" t="s">
        <v>150</v>
      </c>
      <c r="O6" s="98" t="s">
        <v>151</v>
      </c>
      <c r="P6" s="98" t="s">
        <v>152</v>
      </c>
      <c r="Q6" s="100" t="s">
        <v>139</v>
      </c>
    </row>
    <row r="7" spans="2:17" ht="17.25" x14ac:dyDescent="0.2">
      <c r="B7" s="101">
        <v>1</v>
      </c>
      <c r="C7" s="102" t="s">
        <v>172</v>
      </c>
      <c r="D7" s="101" t="s">
        <v>42</v>
      </c>
      <c r="E7" s="214">
        <v>85</v>
      </c>
      <c r="F7" s="214">
        <v>85</v>
      </c>
      <c r="G7" s="214">
        <v>85</v>
      </c>
      <c r="H7" s="214">
        <v>85</v>
      </c>
      <c r="I7" s="214">
        <v>85</v>
      </c>
      <c r="J7" s="214">
        <v>85</v>
      </c>
      <c r="K7" s="214">
        <v>85</v>
      </c>
      <c r="L7" s="214">
        <v>85</v>
      </c>
      <c r="M7" s="214">
        <v>85</v>
      </c>
      <c r="N7" s="214">
        <v>85</v>
      </c>
      <c r="O7" s="214">
        <v>85</v>
      </c>
      <c r="P7" s="214">
        <v>85</v>
      </c>
      <c r="Q7" s="305">
        <v>85</v>
      </c>
    </row>
    <row r="8" spans="2:17" ht="17.25" x14ac:dyDescent="0.2">
      <c r="B8" s="101">
        <f>B7+1</f>
        <v>2</v>
      </c>
      <c r="C8" s="102" t="s">
        <v>194</v>
      </c>
      <c r="D8" s="101" t="s">
        <v>42</v>
      </c>
      <c r="E8" s="215">
        <v>97.27</v>
      </c>
      <c r="F8" s="215">
        <v>96.98</v>
      </c>
      <c r="G8" s="215">
        <v>87.41</v>
      </c>
      <c r="H8" s="215">
        <v>79.23</v>
      </c>
      <c r="I8" s="215">
        <v>89.88</v>
      </c>
      <c r="J8" s="215">
        <v>66.239999999999995</v>
      </c>
      <c r="K8" s="215">
        <v>66.88</v>
      </c>
      <c r="L8" s="215">
        <v>86.91</v>
      </c>
      <c r="M8" s="215">
        <v>94.12</v>
      </c>
      <c r="N8" s="215">
        <v>96.66</v>
      </c>
      <c r="O8" s="215">
        <v>88.07</v>
      </c>
      <c r="P8" s="215">
        <v>101.09</v>
      </c>
      <c r="Q8" s="306">
        <v>87.55</v>
      </c>
    </row>
    <row r="9" spans="2:17" ht="17.25" x14ac:dyDescent="0.2">
      <c r="B9" s="101">
        <f t="shared" ref="B9:B25" si="0">B8+1</f>
        <v>3</v>
      </c>
      <c r="C9" s="102" t="s">
        <v>195</v>
      </c>
      <c r="D9" s="101" t="s">
        <v>42</v>
      </c>
      <c r="E9" s="215">
        <v>97.27</v>
      </c>
      <c r="F9" s="215">
        <v>97.12</v>
      </c>
      <c r="G9" s="215">
        <v>93.92</v>
      </c>
      <c r="H9" s="215">
        <v>90.19</v>
      </c>
      <c r="I9" s="215">
        <v>90.13</v>
      </c>
      <c r="J9" s="215">
        <v>86.21</v>
      </c>
      <c r="K9" s="215">
        <v>83.41</v>
      </c>
      <c r="L9" s="215">
        <v>83.84</v>
      </c>
      <c r="M9" s="215">
        <v>85</v>
      </c>
      <c r="N9" s="215">
        <v>86.18</v>
      </c>
      <c r="O9" s="215">
        <v>86.34</v>
      </c>
      <c r="P9" s="215">
        <v>87.59</v>
      </c>
      <c r="Q9" s="306"/>
    </row>
    <row r="10" spans="2:17" ht="17.25" x14ac:dyDescent="0.2">
      <c r="B10" s="101">
        <f t="shared" si="0"/>
        <v>4</v>
      </c>
      <c r="C10" s="102" t="s">
        <v>43</v>
      </c>
      <c r="D10" s="101" t="s">
        <v>42</v>
      </c>
      <c r="E10" s="215">
        <v>85</v>
      </c>
      <c r="F10" s="215">
        <v>85</v>
      </c>
      <c r="G10" s="215">
        <v>85</v>
      </c>
      <c r="H10" s="215">
        <v>85</v>
      </c>
      <c r="I10" s="215">
        <v>85</v>
      </c>
      <c r="J10" s="215">
        <v>85</v>
      </c>
      <c r="K10" s="215">
        <v>85</v>
      </c>
      <c r="L10" s="215">
        <v>85</v>
      </c>
      <c r="M10" s="215">
        <v>85</v>
      </c>
      <c r="N10" s="215">
        <v>85</v>
      </c>
      <c r="O10" s="215">
        <v>85</v>
      </c>
      <c r="P10" s="215">
        <v>85</v>
      </c>
      <c r="Q10" s="306">
        <v>85</v>
      </c>
    </row>
    <row r="11" spans="2:17" ht="17.25" x14ac:dyDescent="0.2">
      <c r="B11" s="101">
        <f t="shared" si="0"/>
        <v>5</v>
      </c>
      <c r="C11" s="102" t="s">
        <v>196</v>
      </c>
      <c r="D11" s="101" t="s">
        <v>42</v>
      </c>
      <c r="E11" s="215">
        <v>84.680017361111098</v>
      </c>
      <c r="F11" s="215">
        <v>85.79939516129032</v>
      </c>
      <c r="G11" s="215">
        <v>87.949826388888894</v>
      </c>
      <c r="H11" s="215">
        <v>76.822244623655919</v>
      </c>
      <c r="I11" s="215">
        <v>88.552587365591378</v>
      </c>
      <c r="J11" s="215">
        <v>66.503819444444446</v>
      </c>
      <c r="K11" s="215">
        <v>66.585181451612897</v>
      </c>
      <c r="L11" s="215">
        <v>69.163715277777769</v>
      </c>
      <c r="M11" s="215">
        <v>75.684475806451616</v>
      </c>
      <c r="N11" s="215">
        <v>74.869791666666671</v>
      </c>
      <c r="O11" s="215">
        <v>78.482142857142861</v>
      </c>
      <c r="P11" s="215">
        <v>93.056401209677432</v>
      </c>
      <c r="Q11" s="306"/>
    </row>
    <row r="12" spans="2:17" ht="17.25" x14ac:dyDescent="0.2">
      <c r="B12" s="101">
        <f t="shared" si="0"/>
        <v>6</v>
      </c>
      <c r="C12" s="102" t="s">
        <v>197</v>
      </c>
      <c r="D12" s="101" t="s">
        <v>42</v>
      </c>
      <c r="E12" s="215">
        <v>84.680017361111098</v>
      </c>
      <c r="F12" s="215">
        <v>85.248881489071024</v>
      </c>
      <c r="G12" s="215">
        <v>86.13930288461539</v>
      </c>
      <c r="H12" s="215">
        <v>83.771853654371569</v>
      </c>
      <c r="I12" s="215">
        <v>84.740499046840952</v>
      </c>
      <c r="J12" s="215">
        <v>81.750879439890696</v>
      </c>
      <c r="K12" s="215">
        <v>79.553979264018679</v>
      </c>
      <c r="L12" s="215">
        <v>78.276487790300536</v>
      </c>
      <c r="M12" s="215">
        <v>77.984297348484844</v>
      </c>
      <c r="N12" s="215">
        <v>77.668775531045739</v>
      </c>
      <c r="O12" s="215">
        <v>77.736962013473047</v>
      </c>
      <c r="P12" s="215">
        <v>79.03806506849314</v>
      </c>
      <c r="Q12" s="306"/>
    </row>
    <row r="13" spans="2:17" ht="17.25" x14ac:dyDescent="0.2">
      <c r="B13" s="101">
        <f t="shared" si="0"/>
        <v>7</v>
      </c>
      <c r="C13" s="91" t="s">
        <v>198</v>
      </c>
      <c r="D13" s="104" t="s">
        <v>45</v>
      </c>
      <c r="E13" s="215">
        <v>487.76</v>
      </c>
      <c r="F13" s="215">
        <v>510.68</v>
      </c>
      <c r="G13" s="215">
        <v>506.59</v>
      </c>
      <c r="H13" s="215">
        <v>457.25</v>
      </c>
      <c r="I13" s="215">
        <v>527.07000000000005</v>
      </c>
      <c r="J13" s="215">
        <v>383.06</v>
      </c>
      <c r="K13" s="215">
        <v>396.32</v>
      </c>
      <c r="L13" s="215">
        <v>398.38</v>
      </c>
      <c r="M13" s="215">
        <v>450.47</v>
      </c>
      <c r="N13" s="215">
        <v>445.63</v>
      </c>
      <c r="O13" s="215">
        <v>421.92</v>
      </c>
      <c r="P13" s="215">
        <v>553.87</v>
      </c>
      <c r="Q13" s="306">
        <f>SUM(E13:P13)</f>
        <v>5539</v>
      </c>
    </row>
    <row r="14" spans="2:17" ht="17.25" x14ac:dyDescent="0.2">
      <c r="B14" s="101">
        <f t="shared" si="0"/>
        <v>8</v>
      </c>
      <c r="C14" s="91" t="s">
        <v>199</v>
      </c>
      <c r="D14" s="104" t="s">
        <v>45</v>
      </c>
      <c r="E14" s="215">
        <v>21.87</v>
      </c>
      <c r="F14" s="215">
        <v>23.12</v>
      </c>
      <c r="G14" s="215">
        <v>21.49</v>
      </c>
      <c r="H14" s="215">
        <v>20.04</v>
      </c>
      <c r="I14" s="215">
        <v>22.94</v>
      </c>
      <c r="J14" s="215">
        <v>20.079999999999998</v>
      </c>
      <c r="K14" s="215">
        <v>20.6</v>
      </c>
      <c r="L14" s="215">
        <v>18.68</v>
      </c>
      <c r="M14" s="215">
        <v>19.850000000000001</v>
      </c>
      <c r="N14" s="215">
        <v>19.690000000000001</v>
      </c>
      <c r="O14" s="215">
        <v>18.690000000000001</v>
      </c>
      <c r="P14" s="215">
        <v>22.95</v>
      </c>
      <c r="Q14" s="306">
        <f t="shared" ref="Q14:Q24" si="1">SUM(E14:P14)</f>
        <v>250</v>
      </c>
    </row>
    <row r="15" spans="2:17" ht="17.25" x14ac:dyDescent="0.2">
      <c r="B15" s="101">
        <f t="shared" si="0"/>
        <v>9</v>
      </c>
      <c r="C15" s="91" t="s">
        <v>216</v>
      </c>
      <c r="D15" s="104" t="s">
        <v>45</v>
      </c>
      <c r="E15" s="215">
        <v>465.89</v>
      </c>
      <c r="F15" s="215">
        <v>487.56</v>
      </c>
      <c r="G15" s="215">
        <v>485.09999999999997</v>
      </c>
      <c r="H15" s="215">
        <v>437.21</v>
      </c>
      <c r="I15" s="215">
        <v>504.13000000000005</v>
      </c>
      <c r="J15" s="215">
        <v>362.98</v>
      </c>
      <c r="K15" s="215">
        <v>375.71999999999997</v>
      </c>
      <c r="L15" s="215">
        <v>379.7</v>
      </c>
      <c r="M15" s="215">
        <v>430.62</v>
      </c>
      <c r="N15" s="215">
        <v>425.94</v>
      </c>
      <c r="O15" s="215">
        <v>403.23</v>
      </c>
      <c r="P15" s="215">
        <v>530.91999999999996</v>
      </c>
      <c r="Q15" s="306">
        <f t="shared" si="1"/>
        <v>5289</v>
      </c>
    </row>
    <row r="16" spans="2:17" ht="17.25" x14ac:dyDescent="0.2">
      <c r="B16" s="101">
        <f t="shared" si="0"/>
        <v>10</v>
      </c>
      <c r="C16" s="91" t="s">
        <v>217</v>
      </c>
      <c r="D16" s="104" t="s">
        <v>45</v>
      </c>
      <c r="E16" s="215">
        <v>0</v>
      </c>
      <c r="F16" s="215">
        <v>0</v>
      </c>
      <c r="G16" s="215">
        <v>0</v>
      </c>
      <c r="H16" s="215">
        <v>0</v>
      </c>
      <c r="I16" s="215">
        <v>0</v>
      </c>
      <c r="J16" s="215">
        <v>0</v>
      </c>
      <c r="K16" s="215">
        <v>0</v>
      </c>
      <c r="L16" s="215">
        <v>0</v>
      </c>
      <c r="M16" s="215">
        <v>0</v>
      </c>
      <c r="N16" s="215">
        <v>0</v>
      </c>
      <c r="O16" s="215">
        <v>0</v>
      </c>
      <c r="P16" s="215">
        <v>0</v>
      </c>
      <c r="Q16" s="306">
        <f t="shared" si="1"/>
        <v>0</v>
      </c>
    </row>
    <row r="17" spans="2:17" ht="17.25" x14ac:dyDescent="0.2">
      <c r="B17" s="101">
        <f t="shared" si="0"/>
        <v>11</v>
      </c>
      <c r="C17" s="91" t="s">
        <v>200</v>
      </c>
      <c r="D17" s="104" t="s">
        <v>204</v>
      </c>
      <c r="E17" s="215">
        <v>3.62</v>
      </c>
      <c r="F17" s="215">
        <v>3.62</v>
      </c>
      <c r="G17" s="215">
        <v>3.62</v>
      </c>
      <c r="H17" s="215">
        <v>3.62</v>
      </c>
      <c r="I17" s="215">
        <v>3.62</v>
      </c>
      <c r="J17" s="215">
        <v>3.62</v>
      </c>
      <c r="K17" s="215">
        <v>3.62</v>
      </c>
      <c r="L17" s="215">
        <v>3.62</v>
      </c>
      <c r="M17" s="215">
        <v>3.62</v>
      </c>
      <c r="N17" s="215">
        <v>3.62</v>
      </c>
      <c r="O17" s="215">
        <v>3.62</v>
      </c>
      <c r="P17" s="215">
        <v>3.62</v>
      </c>
      <c r="Q17" s="306"/>
    </row>
    <row r="18" spans="2:17" ht="17.25" x14ac:dyDescent="0.2">
      <c r="B18" s="101">
        <f t="shared" si="0"/>
        <v>12</v>
      </c>
      <c r="C18" s="91" t="s">
        <v>218</v>
      </c>
      <c r="D18" s="104" t="s">
        <v>205</v>
      </c>
      <c r="E18" s="216">
        <v>100.48333333333333</v>
      </c>
      <c r="F18" s="216">
        <v>100.48333333333333</v>
      </c>
      <c r="G18" s="216">
        <v>100.48333333333333</v>
      </c>
      <c r="H18" s="216">
        <v>100.48333333333333</v>
      </c>
      <c r="I18" s="216">
        <v>100.48333333333333</v>
      </c>
      <c r="J18" s="216">
        <v>100.48333333333333</v>
      </c>
      <c r="K18" s="216">
        <v>100.48333333333333</v>
      </c>
      <c r="L18" s="216">
        <v>100.48333333333333</v>
      </c>
      <c r="M18" s="216">
        <v>100.48333333333333</v>
      </c>
      <c r="N18" s="216">
        <v>100.48333333333333</v>
      </c>
      <c r="O18" s="216">
        <v>100.48333333333333</v>
      </c>
      <c r="P18" s="216">
        <v>100.48333333333333</v>
      </c>
      <c r="Q18" s="217">
        <f t="shared" si="1"/>
        <v>1205.8</v>
      </c>
    </row>
    <row r="19" spans="2:17" ht="17.25" x14ac:dyDescent="0.2">
      <c r="B19" s="101">
        <f t="shared" si="0"/>
        <v>13</v>
      </c>
      <c r="C19" s="91" t="s">
        <v>367</v>
      </c>
      <c r="D19" s="104" t="s">
        <v>204</v>
      </c>
      <c r="E19" s="216">
        <v>3.6560000000000001</v>
      </c>
      <c r="F19" s="216">
        <v>3.516</v>
      </c>
      <c r="G19" s="216">
        <v>3.4790000000000001</v>
      </c>
      <c r="H19" s="216">
        <v>3.5979999999999999</v>
      </c>
      <c r="I19" s="216">
        <v>3.7669999999999999</v>
      </c>
      <c r="J19" s="216">
        <v>3.633</v>
      </c>
      <c r="K19" s="216">
        <v>3.6019999999999999</v>
      </c>
      <c r="L19" s="216">
        <v>3.8719999999999999</v>
      </c>
      <c r="M19" s="216">
        <v>3.59</v>
      </c>
      <c r="N19" s="216">
        <v>3.6309999999999998</v>
      </c>
      <c r="O19" s="216">
        <v>3.6960000000000002</v>
      </c>
      <c r="P19" s="216">
        <v>3.4769999999999999</v>
      </c>
      <c r="Q19" s="217"/>
    </row>
    <row r="20" spans="2:17" ht="17.25" x14ac:dyDescent="0.2">
      <c r="B20" s="101">
        <f t="shared" si="0"/>
        <v>14</v>
      </c>
      <c r="C20" s="91" t="s">
        <v>201</v>
      </c>
      <c r="D20" s="104" t="s">
        <v>205</v>
      </c>
      <c r="E20" s="216">
        <v>100.48333333333333</v>
      </c>
      <c r="F20" s="216">
        <v>100.48333333333333</v>
      </c>
      <c r="G20" s="216">
        <v>100.48333333333331</v>
      </c>
      <c r="H20" s="216">
        <v>100.48333333333333</v>
      </c>
      <c r="I20" s="216">
        <v>100.48333333333336</v>
      </c>
      <c r="J20" s="216">
        <v>100.48333333333328</v>
      </c>
      <c r="K20" s="216">
        <v>87.32592745098033</v>
      </c>
      <c r="L20" s="216">
        <v>102.670323529</v>
      </c>
      <c r="M20" s="216">
        <v>111.45374902</v>
      </c>
      <c r="N20" s="216">
        <v>100.483333333</v>
      </c>
      <c r="O20" s="216">
        <v>100.483333333</v>
      </c>
      <c r="P20" s="216">
        <v>100.483333333</v>
      </c>
      <c r="Q20" s="217">
        <f t="shared" si="1"/>
        <v>1205.7999999989804</v>
      </c>
    </row>
    <row r="21" spans="2:17" ht="17.25" x14ac:dyDescent="0.2">
      <c r="B21" s="101">
        <f t="shared" si="0"/>
        <v>15</v>
      </c>
      <c r="C21" s="91" t="s">
        <v>368</v>
      </c>
      <c r="D21" s="104" t="s">
        <v>205</v>
      </c>
      <c r="E21" s="216">
        <v>112.23162152411484</v>
      </c>
      <c r="F21" s="216">
        <v>117.45248325092864</v>
      </c>
      <c r="G21" s="216">
        <v>116.86071087475489</v>
      </c>
      <c r="H21" s="216">
        <v>105.32243728218069</v>
      </c>
      <c r="I21" s="216">
        <v>121.44253518399999</v>
      </c>
      <c r="J21" s="216">
        <v>87.442353583479189</v>
      </c>
      <c r="K21" s="216">
        <v>90.509706670196223</v>
      </c>
      <c r="L21" s="216">
        <v>137.45223243800001</v>
      </c>
      <c r="M21" s="216">
        <v>155.88681889429441</v>
      </c>
      <c r="N21" s="216">
        <v>154.18973818294361</v>
      </c>
      <c r="O21" s="216">
        <v>145.96944502268883</v>
      </c>
      <c r="P21" s="216">
        <v>192.1940630559468</v>
      </c>
      <c r="Q21" s="217">
        <f t="shared" si="1"/>
        <v>1536.9541459635282</v>
      </c>
    </row>
    <row r="22" spans="2:17" ht="17.25" x14ac:dyDescent="0.2">
      <c r="B22" s="101">
        <f t="shared" si="0"/>
        <v>16</v>
      </c>
      <c r="C22" s="91" t="s">
        <v>219</v>
      </c>
      <c r="D22" s="104" t="s">
        <v>205</v>
      </c>
      <c r="E22" s="216">
        <v>58.077069041172365</v>
      </c>
      <c r="F22" s="216">
        <v>53.96199502707136</v>
      </c>
      <c r="G22" s="216">
        <v>51.896950900926207</v>
      </c>
      <c r="H22" s="216">
        <v>51.99232993074925</v>
      </c>
      <c r="I22" s="216">
        <v>68.470931504473754</v>
      </c>
      <c r="J22" s="216">
        <v>44.413426970340609</v>
      </c>
      <c r="K22" s="216">
        <v>44.840202316943646</v>
      </c>
      <c r="L22" s="216">
        <v>9.5627914811641688</v>
      </c>
      <c r="M22" s="216">
        <v>-1.2770643029423476</v>
      </c>
      <c r="N22" s="216">
        <v>0.4543922780794859</v>
      </c>
      <c r="O22" s="216">
        <v>3.0755890950168134</v>
      </c>
      <c r="P22" s="216">
        <v>-7.5827279496178628</v>
      </c>
      <c r="Q22" s="217">
        <f t="shared" si="1"/>
        <v>377.88588629337744</v>
      </c>
    </row>
    <row r="23" spans="2:17" ht="17.25" x14ac:dyDescent="0.2">
      <c r="B23" s="101">
        <f t="shared" si="0"/>
        <v>17</v>
      </c>
      <c r="C23" s="91" t="s">
        <v>202</v>
      </c>
      <c r="D23" s="104" t="s">
        <v>205</v>
      </c>
      <c r="E23" s="216"/>
      <c r="F23" s="216"/>
      <c r="G23" s="216"/>
      <c r="H23" s="216"/>
      <c r="I23" s="216"/>
      <c r="J23" s="216"/>
      <c r="K23" s="216"/>
      <c r="L23" s="216"/>
      <c r="M23" s="216"/>
      <c r="N23" s="216"/>
      <c r="O23" s="216"/>
      <c r="P23" s="216"/>
      <c r="Q23" s="217"/>
    </row>
    <row r="24" spans="2:17" ht="17.25" x14ac:dyDescent="0.2">
      <c r="B24" s="101">
        <f t="shared" si="0"/>
        <v>18</v>
      </c>
      <c r="C24" s="106" t="s">
        <v>155</v>
      </c>
      <c r="D24" s="104" t="s">
        <v>205</v>
      </c>
      <c r="E24" s="216">
        <v>270.79202389862053</v>
      </c>
      <c r="F24" s="216">
        <v>271.89781161133334</v>
      </c>
      <c r="G24" s="216">
        <v>269.24099510901436</v>
      </c>
      <c r="H24" s="216">
        <v>257.79810054626324</v>
      </c>
      <c r="I24" s="216">
        <v>290.39680002180711</v>
      </c>
      <c r="J24" s="216">
        <v>232.33911388715308</v>
      </c>
      <c r="K24" s="216">
        <v>222.6758364381202</v>
      </c>
      <c r="L24" s="216">
        <v>249.68534744816418</v>
      </c>
      <c r="M24" s="216">
        <v>266.06350361135208</v>
      </c>
      <c r="N24" s="216">
        <v>255.1274637940231</v>
      </c>
      <c r="O24" s="216">
        <v>249.52836745070567</v>
      </c>
      <c r="P24" s="216">
        <v>285.09466843932893</v>
      </c>
      <c r="Q24" s="217">
        <f t="shared" si="1"/>
        <v>3120.6400322558861</v>
      </c>
    </row>
    <row r="25" spans="2:17" ht="17.25" x14ac:dyDescent="0.2">
      <c r="B25" s="101">
        <f t="shared" si="0"/>
        <v>19</v>
      </c>
      <c r="C25" s="108" t="s">
        <v>203</v>
      </c>
      <c r="D25" s="104"/>
      <c r="E25" s="217"/>
      <c r="F25" s="217"/>
      <c r="G25" s="217"/>
      <c r="H25" s="217"/>
      <c r="I25" s="217"/>
      <c r="J25" s="217"/>
      <c r="K25" s="217"/>
      <c r="L25" s="217"/>
      <c r="M25" s="217"/>
      <c r="N25" s="217"/>
      <c r="O25" s="217"/>
      <c r="P25" s="217"/>
      <c r="Q25" s="217"/>
    </row>
    <row r="26" spans="2:17" ht="33" x14ac:dyDescent="0.2">
      <c r="B26" s="156" t="s">
        <v>455</v>
      </c>
      <c r="C26" s="157" t="s">
        <v>456</v>
      </c>
      <c r="D26" s="158" t="s">
        <v>205</v>
      </c>
      <c r="E26" s="216"/>
      <c r="F26" s="215"/>
      <c r="G26" s="215"/>
      <c r="H26" s="215"/>
      <c r="I26" s="215"/>
      <c r="J26" s="215"/>
      <c r="K26" s="215"/>
      <c r="L26" s="215"/>
      <c r="M26" s="218"/>
      <c r="N26" s="218"/>
      <c r="O26" s="218"/>
      <c r="P26" s="218"/>
      <c r="Q26" s="219">
        <v>-65.56</v>
      </c>
    </row>
    <row r="27" spans="2:17" ht="33" x14ac:dyDescent="0.2">
      <c r="B27" s="156" t="s">
        <v>455</v>
      </c>
      <c r="C27" s="157" t="s">
        <v>457</v>
      </c>
      <c r="D27" s="158" t="s">
        <v>205</v>
      </c>
      <c r="E27" s="216"/>
      <c r="F27" s="215"/>
      <c r="G27" s="215"/>
      <c r="H27" s="215"/>
      <c r="I27" s="215"/>
      <c r="J27" s="215"/>
      <c r="K27" s="215"/>
      <c r="L27" s="215"/>
      <c r="M27" s="218"/>
      <c r="N27" s="218"/>
      <c r="O27" s="218"/>
      <c r="P27" s="218"/>
      <c r="Q27" s="219">
        <v>8.44</v>
      </c>
    </row>
    <row r="28" spans="2:17" ht="17.25" x14ac:dyDescent="0.2">
      <c r="B28" s="156" t="s">
        <v>455</v>
      </c>
      <c r="C28" s="157" t="s">
        <v>105</v>
      </c>
      <c r="D28" s="158" t="s">
        <v>205</v>
      </c>
      <c r="E28" s="216"/>
      <c r="F28" s="215"/>
      <c r="G28" s="215"/>
      <c r="H28" s="215"/>
      <c r="I28" s="215"/>
      <c r="J28" s="215"/>
      <c r="K28" s="215"/>
      <c r="L28" s="215"/>
      <c r="M28" s="218"/>
      <c r="N28" s="218"/>
      <c r="O28" s="218"/>
      <c r="P28" s="218"/>
      <c r="Q28" s="219">
        <v>1.2</v>
      </c>
    </row>
    <row r="29" spans="2:17" ht="33" x14ac:dyDescent="0.2">
      <c r="B29" s="156" t="s">
        <v>455</v>
      </c>
      <c r="C29" s="157" t="s">
        <v>458</v>
      </c>
      <c r="D29" s="158" t="s">
        <v>205</v>
      </c>
      <c r="E29" s="216"/>
      <c r="F29" s="215"/>
      <c r="G29" s="215"/>
      <c r="H29" s="215"/>
      <c r="I29" s="215"/>
      <c r="J29" s="215"/>
      <c r="K29" s="215"/>
      <c r="L29" s="215"/>
      <c r="M29" s="218"/>
      <c r="N29" s="218"/>
      <c r="O29" s="218"/>
      <c r="P29" s="218"/>
      <c r="Q29" s="219"/>
    </row>
    <row r="30" spans="2:17" ht="17.25" x14ac:dyDescent="0.2">
      <c r="B30" s="104">
        <f>B25+1</f>
        <v>20</v>
      </c>
      <c r="C30" s="90" t="s">
        <v>170</v>
      </c>
      <c r="D30" s="104" t="s">
        <v>205</v>
      </c>
      <c r="E30" s="216">
        <v>270.79202389862053</v>
      </c>
      <c r="F30" s="215">
        <v>271.89781161133334</v>
      </c>
      <c r="G30" s="215">
        <v>269.24099510901436</v>
      </c>
      <c r="H30" s="215">
        <v>257.79810054626324</v>
      </c>
      <c r="I30" s="215">
        <v>290.39680002180711</v>
      </c>
      <c r="J30" s="215">
        <v>232.33911388715308</v>
      </c>
      <c r="K30" s="215">
        <v>222.6758364381202</v>
      </c>
      <c r="L30" s="215">
        <v>249.68534744816418</v>
      </c>
      <c r="M30" s="218">
        <v>266.06350361135208</v>
      </c>
      <c r="N30" s="218">
        <v>255.1274637940231</v>
      </c>
      <c r="O30" s="218">
        <v>249.52836745070567</v>
      </c>
      <c r="P30" s="218">
        <v>285.09466843932893</v>
      </c>
      <c r="Q30" s="219">
        <f>Q24+Q26+Q27+Q28</f>
        <v>3064.7200322558861</v>
      </c>
    </row>
    <row r="31" spans="2:17" ht="17.25" x14ac:dyDescent="0.2">
      <c r="B31" s="104">
        <f>B30+1</f>
        <v>21</v>
      </c>
      <c r="C31" s="90" t="s">
        <v>206</v>
      </c>
      <c r="D31" s="104" t="s">
        <v>205</v>
      </c>
      <c r="E31" s="217"/>
      <c r="F31" s="217"/>
      <c r="G31" s="217"/>
      <c r="H31" s="217"/>
      <c r="I31" s="217"/>
      <c r="J31" s="217"/>
      <c r="K31" s="217"/>
      <c r="L31" s="217"/>
      <c r="M31" s="217"/>
      <c r="N31" s="217"/>
      <c r="O31" s="217"/>
      <c r="P31" s="217"/>
      <c r="Q31" s="217"/>
    </row>
  </sheetData>
  <pageMargins left="0.2" right="0.2" top="0.25" bottom="0.25" header="0.3" footer="0.3"/>
  <pageSetup paperSize="9" scale="77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K15"/>
  <sheetViews>
    <sheetView showGridLines="0" view="pageBreakPreview" zoomScale="95" zoomScaleNormal="95" zoomScaleSheetLayoutView="95" workbookViewId="0">
      <selection activeCell="B13" sqref="B13:C13"/>
    </sheetView>
  </sheetViews>
  <sheetFormatPr defaultColWidth="9.28515625" defaultRowHeight="14.25" x14ac:dyDescent="0.2"/>
  <cols>
    <col min="1" max="1" width="3.28515625" style="5" customWidth="1"/>
    <col min="2" max="2" width="5.7109375" style="5" customWidth="1"/>
    <col min="3" max="3" width="20.7109375" style="5" customWidth="1"/>
    <col min="4" max="5" width="11.85546875" style="5" customWidth="1"/>
    <col min="6" max="6" width="10.140625" style="5" customWidth="1"/>
    <col min="7" max="7" width="14" style="5" customWidth="1"/>
    <col min="8" max="8" width="12" style="5" customWidth="1"/>
    <col min="9" max="9" width="10.28515625" style="5" customWidth="1"/>
    <col min="10" max="11" width="11.5703125" style="5" customWidth="1"/>
    <col min="12" max="16384" width="9.28515625" style="5"/>
  </cols>
  <sheetData>
    <row r="1" spans="2:11" ht="15" x14ac:dyDescent="0.2">
      <c r="C1" s="36"/>
      <c r="D1" s="36"/>
      <c r="E1" s="36"/>
      <c r="F1" s="36"/>
      <c r="G1" s="36"/>
      <c r="I1" s="33"/>
      <c r="J1" s="33"/>
      <c r="K1" s="36"/>
    </row>
    <row r="2" spans="2:11" ht="15" x14ac:dyDescent="0.2">
      <c r="B2" s="328" t="s">
        <v>401</v>
      </c>
      <c r="C2" s="328"/>
      <c r="D2" s="328"/>
      <c r="E2" s="328"/>
      <c r="F2" s="328"/>
      <c r="G2" s="328"/>
      <c r="H2" s="328"/>
      <c r="I2" s="328"/>
      <c r="J2" s="328"/>
      <c r="K2" s="328"/>
    </row>
    <row r="3" spans="2:11" ht="15" x14ac:dyDescent="0.2">
      <c r="B3" s="328" t="s">
        <v>467</v>
      </c>
      <c r="C3" s="328"/>
      <c r="D3" s="328"/>
      <c r="E3" s="328"/>
      <c r="F3" s="328"/>
      <c r="G3" s="328"/>
      <c r="H3" s="328"/>
      <c r="I3" s="328"/>
      <c r="J3" s="328"/>
      <c r="K3" s="328"/>
    </row>
    <row r="4" spans="2:11" ht="15" x14ac:dyDescent="0.2">
      <c r="B4" s="328" t="s">
        <v>377</v>
      </c>
      <c r="C4" s="328"/>
      <c r="D4" s="328"/>
      <c r="E4" s="328"/>
      <c r="F4" s="328"/>
      <c r="G4" s="328"/>
      <c r="H4" s="328"/>
      <c r="I4" s="328"/>
      <c r="J4" s="328"/>
      <c r="K4" s="328"/>
    </row>
    <row r="5" spans="2:11" ht="15" x14ac:dyDescent="0.2">
      <c r="B5" s="329" t="s">
        <v>68</v>
      </c>
      <c r="C5" s="329"/>
      <c r="D5" s="329"/>
      <c r="E5" s="329"/>
      <c r="F5" s="329"/>
      <c r="G5" s="329"/>
      <c r="H5" s="329"/>
      <c r="I5" s="329"/>
      <c r="J5" s="329"/>
      <c r="K5" s="329"/>
    </row>
    <row r="6" spans="2:11" ht="15" x14ac:dyDescent="0.2">
      <c r="K6" s="26" t="s">
        <v>4</v>
      </c>
    </row>
    <row r="7" spans="2:11" ht="15" customHeight="1" x14ac:dyDescent="0.2">
      <c r="B7" s="330" t="s">
        <v>193</v>
      </c>
      <c r="C7" s="330" t="s">
        <v>18</v>
      </c>
      <c r="D7" s="331" t="s">
        <v>1</v>
      </c>
      <c r="E7" s="325" t="s">
        <v>403</v>
      </c>
      <c r="F7" s="326"/>
      <c r="G7" s="327"/>
      <c r="H7" s="325" t="s">
        <v>404</v>
      </c>
      <c r="I7" s="327"/>
      <c r="J7" s="325" t="s">
        <v>465</v>
      </c>
      <c r="K7" s="327"/>
    </row>
    <row r="8" spans="2:11" ht="45" x14ac:dyDescent="0.2">
      <c r="B8" s="330"/>
      <c r="C8" s="330"/>
      <c r="D8" s="332"/>
      <c r="E8" s="15" t="s">
        <v>370</v>
      </c>
      <c r="F8" s="15" t="s">
        <v>240</v>
      </c>
      <c r="G8" s="15" t="s">
        <v>463</v>
      </c>
      <c r="H8" s="15" t="s">
        <v>370</v>
      </c>
      <c r="I8" s="15" t="s">
        <v>239</v>
      </c>
      <c r="J8" s="15" t="s">
        <v>370</v>
      </c>
      <c r="K8" s="15" t="s">
        <v>239</v>
      </c>
    </row>
    <row r="9" spans="2:11" ht="30" x14ac:dyDescent="0.2">
      <c r="B9" s="330"/>
      <c r="C9" s="330"/>
      <c r="D9" s="333"/>
      <c r="E9" s="15" t="s">
        <v>10</v>
      </c>
      <c r="F9" s="15" t="s">
        <v>12</v>
      </c>
      <c r="G9" s="15" t="s">
        <v>231</v>
      </c>
      <c r="H9" s="15" t="s">
        <v>10</v>
      </c>
      <c r="I9" s="15" t="s">
        <v>461</v>
      </c>
      <c r="J9" s="15" t="s">
        <v>10</v>
      </c>
      <c r="K9" s="15" t="s">
        <v>461</v>
      </c>
    </row>
    <row r="10" spans="2:11" x14ac:dyDescent="0.2">
      <c r="B10" s="20">
        <v>1</v>
      </c>
      <c r="C10" s="29" t="s">
        <v>69</v>
      </c>
      <c r="D10" s="29" t="s">
        <v>24</v>
      </c>
      <c r="E10" s="125"/>
      <c r="F10" s="142">
        <f>F2.1!D35</f>
        <v>482.08</v>
      </c>
      <c r="G10" s="142">
        <f>F10</f>
        <v>482.08</v>
      </c>
      <c r="H10" s="125"/>
      <c r="I10" s="142">
        <f>F2.1!E35</f>
        <v>504.29</v>
      </c>
      <c r="J10" s="125"/>
      <c r="K10" s="142">
        <f>F2.1!F35</f>
        <v>524.46</v>
      </c>
    </row>
    <row r="11" spans="2:11" x14ac:dyDescent="0.2">
      <c r="B11" s="20">
        <f>B10+1</f>
        <v>2</v>
      </c>
      <c r="C11" s="37" t="s">
        <v>241</v>
      </c>
      <c r="D11" s="37" t="s">
        <v>25</v>
      </c>
      <c r="E11" s="130"/>
      <c r="F11" s="143">
        <f>F2.2!D38</f>
        <v>21.78</v>
      </c>
      <c r="G11" s="142">
        <f t="shared" ref="G11:G12" si="0">F11</f>
        <v>21.78</v>
      </c>
      <c r="H11" s="125"/>
      <c r="I11" s="142">
        <f>F2.2!E38</f>
        <v>25.67</v>
      </c>
      <c r="J11" s="125"/>
      <c r="K11" s="142">
        <f>F2.2!F38</f>
        <v>27.21</v>
      </c>
    </row>
    <row r="12" spans="2:11" x14ac:dyDescent="0.2">
      <c r="B12" s="20">
        <f>B11+1</f>
        <v>3</v>
      </c>
      <c r="C12" s="29" t="s">
        <v>211</v>
      </c>
      <c r="D12" s="29" t="s">
        <v>267</v>
      </c>
      <c r="E12" s="125"/>
      <c r="F12" s="142">
        <f>F2.3!D18</f>
        <v>32.880000000000003</v>
      </c>
      <c r="G12" s="142">
        <f t="shared" si="0"/>
        <v>32.880000000000003</v>
      </c>
      <c r="H12" s="125"/>
      <c r="I12" s="142">
        <f>F2.3!E18</f>
        <v>34.909999999999997</v>
      </c>
      <c r="J12" s="125"/>
      <c r="K12" s="142">
        <f>F2.3!F18</f>
        <v>37</v>
      </c>
    </row>
    <row r="13" spans="2:11" ht="15" x14ac:dyDescent="0.2">
      <c r="B13" s="20">
        <f>B12+1</f>
        <v>4</v>
      </c>
      <c r="C13" s="29" t="s">
        <v>70</v>
      </c>
      <c r="D13" s="29"/>
      <c r="E13" s="144">
        <v>483.04</v>
      </c>
      <c r="F13" s="144">
        <f t="shared" ref="F13:K13" si="1">ROUND(SUM(F10:F12),2)</f>
        <v>536.74</v>
      </c>
      <c r="G13" s="144">
        <f t="shared" si="1"/>
        <v>536.74</v>
      </c>
      <c r="H13" s="144">
        <v>510.66</v>
      </c>
      <c r="I13" s="144">
        <f t="shared" si="1"/>
        <v>564.87</v>
      </c>
      <c r="J13" s="144">
        <v>539.87</v>
      </c>
      <c r="K13" s="144">
        <f t="shared" si="1"/>
        <v>588.66999999999996</v>
      </c>
    </row>
    <row r="14" spans="2:11" x14ac:dyDescent="0.2">
      <c r="B14" s="47" t="s">
        <v>242</v>
      </c>
      <c r="C14" s="48"/>
      <c r="D14" s="45"/>
      <c r="E14" s="160"/>
      <c r="F14" s="45"/>
      <c r="G14" s="46"/>
      <c r="H14" s="46"/>
      <c r="I14" s="46"/>
      <c r="J14" s="46"/>
      <c r="K14" s="46"/>
    </row>
    <row r="15" spans="2:11" x14ac:dyDescent="0.2">
      <c r="B15" s="49">
        <v>1</v>
      </c>
      <c r="C15" s="48" t="s">
        <v>243</v>
      </c>
    </row>
  </sheetData>
  <mergeCells count="10">
    <mergeCell ref="B4:K4"/>
    <mergeCell ref="B3:K3"/>
    <mergeCell ref="B2:K2"/>
    <mergeCell ref="B5:K5"/>
    <mergeCell ref="B7:B9"/>
    <mergeCell ref="C7:C9"/>
    <mergeCell ref="H7:I7"/>
    <mergeCell ref="E7:G7"/>
    <mergeCell ref="D7:D9"/>
    <mergeCell ref="J7:K7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H37"/>
  <sheetViews>
    <sheetView showGridLines="0" view="pageBreakPreview" topLeftCell="A18" zoomScale="98" zoomScaleNormal="95" zoomScaleSheetLayoutView="98" workbookViewId="0">
      <selection activeCell="F35" sqref="F35"/>
    </sheetView>
  </sheetViews>
  <sheetFormatPr defaultColWidth="9.28515625" defaultRowHeight="14.25" x14ac:dyDescent="0.2"/>
  <cols>
    <col min="1" max="1" width="4.140625" style="13" customWidth="1"/>
    <col min="2" max="2" width="7" style="13" customWidth="1"/>
    <col min="3" max="3" width="40.7109375" style="294" customWidth="1"/>
    <col min="4" max="4" width="12.7109375" style="13" customWidth="1"/>
    <col min="5" max="5" width="13.28515625" style="13" customWidth="1"/>
    <col min="6" max="6" width="11.85546875" style="13" customWidth="1"/>
    <col min="7" max="7" width="9.28515625" style="13"/>
    <col min="8" max="8" width="16.28515625" style="13" bestFit="1" customWidth="1"/>
    <col min="9" max="16384" width="9.28515625" style="13"/>
  </cols>
  <sheetData>
    <row r="1" spans="2:8" ht="14.25" customHeight="1" x14ac:dyDescent="0.2">
      <c r="B1" s="328" t="s">
        <v>401</v>
      </c>
      <c r="C1" s="328"/>
      <c r="D1" s="328"/>
      <c r="E1" s="328"/>
      <c r="F1" s="328"/>
    </row>
    <row r="2" spans="2:8" ht="14.25" customHeight="1" x14ac:dyDescent="0.2">
      <c r="B2" s="328" t="s">
        <v>467</v>
      </c>
      <c r="C2" s="328"/>
      <c r="D2" s="328"/>
      <c r="E2" s="328"/>
      <c r="F2" s="328"/>
    </row>
    <row r="3" spans="2:8" s="4" customFormat="1" ht="14.25" customHeight="1" x14ac:dyDescent="0.2">
      <c r="B3" s="328" t="s">
        <v>268</v>
      </c>
      <c r="C3" s="328"/>
      <c r="D3" s="328"/>
      <c r="E3" s="328"/>
      <c r="F3" s="328"/>
    </row>
    <row r="4" spans="2:8" s="4" customFormat="1" ht="3" customHeight="1" x14ac:dyDescent="0.25">
      <c r="C4" s="293"/>
      <c r="D4" s="41"/>
      <c r="E4" s="41"/>
    </row>
    <row r="5" spans="2:8" ht="15" x14ac:dyDescent="0.2">
      <c r="F5" s="26" t="s">
        <v>4</v>
      </c>
    </row>
    <row r="6" spans="2:8" ht="12.75" customHeight="1" x14ac:dyDescent="0.2">
      <c r="B6" s="321" t="s">
        <v>2</v>
      </c>
      <c r="C6" s="323" t="s">
        <v>18</v>
      </c>
      <c r="D6" s="15" t="s">
        <v>403</v>
      </c>
      <c r="E6" s="15" t="s">
        <v>404</v>
      </c>
      <c r="F6" s="23" t="s">
        <v>465</v>
      </c>
    </row>
    <row r="7" spans="2:8" ht="15" x14ac:dyDescent="0.2">
      <c r="B7" s="321"/>
      <c r="C7" s="323"/>
      <c r="D7" s="15" t="s">
        <v>240</v>
      </c>
      <c r="E7" s="15" t="s">
        <v>239</v>
      </c>
      <c r="F7" s="15" t="s">
        <v>239</v>
      </c>
    </row>
    <row r="8" spans="2:8" ht="15" x14ac:dyDescent="0.2">
      <c r="B8" s="334"/>
      <c r="C8" s="323"/>
      <c r="D8" s="15" t="s">
        <v>12</v>
      </c>
      <c r="E8" s="15" t="s">
        <v>5</v>
      </c>
      <c r="F8" s="15" t="s">
        <v>8</v>
      </c>
    </row>
    <row r="9" spans="2:8" ht="18" customHeight="1" x14ac:dyDescent="0.2">
      <c r="B9" s="2">
        <v>1</v>
      </c>
      <c r="C9" s="44" t="s">
        <v>73</v>
      </c>
      <c r="D9" s="292">
        <v>240.25775198901164</v>
      </c>
      <c r="E9" s="292">
        <v>251.03927496178113</v>
      </c>
      <c r="F9" s="292">
        <v>261.08084596025236</v>
      </c>
      <c r="H9" s="145"/>
    </row>
    <row r="10" spans="2:8" ht="18" customHeight="1" x14ac:dyDescent="0.2">
      <c r="B10" s="2">
        <v>2</v>
      </c>
      <c r="C10" s="44" t="s">
        <v>74</v>
      </c>
      <c r="D10" s="292">
        <v>30.52294592428391</v>
      </c>
      <c r="E10" s="292">
        <v>31.872905461015534</v>
      </c>
      <c r="F10" s="292">
        <v>33.147821679456158</v>
      </c>
      <c r="H10" s="145"/>
    </row>
    <row r="11" spans="2:8" ht="18" customHeight="1" x14ac:dyDescent="0.2">
      <c r="B11" s="2">
        <v>3</v>
      </c>
      <c r="C11" s="295" t="s">
        <v>75</v>
      </c>
      <c r="D11" s="292">
        <v>18.846875664936107</v>
      </c>
      <c r="E11" s="292">
        <v>20.010169765717372</v>
      </c>
      <c r="F11" s="292">
        <v>20.810576556346067</v>
      </c>
      <c r="H11" s="145"/>
    </row>
    <row r="12" spans="2:8" ht="18" customHeight="1" x14ac:dyDescent="0.2">
      <c r="B12" s="2">
        <v>4</v>
      </c>
      <c r="C12" s="44" t="s">
        <v>76</v>
      </c>
      <c r="D12" s="292">
        <v>2.3031788555612351</v>
      </c>
      <c r="E12" s="292">
        <v>2.4164640391640462</v>
      </c>
      <c r="F12" s="292">
        <v>2.513122600730608</v>
      </c>
      <c r="H12" s="145"/>
    </row>
    <row r="13" spans="2:8" ht="18" customHeight="1" x14ac:dyDescent="0.2">
      <c r="B13" s="2">
        <v>5</v>
      </c>
      <c r="C13" s="44" t="s">
        <v>77</v>
      </c>
      <c r="D13" s="292">
        <v>0</v>
      </c>
      <c r="E13" s="292">
        <v>0</v>
      </c>
      <c r="F13" s="292">
        <v>0</v>
      </c>
      <c r="H13" s="145"/>
    </row>
    <row r="14" spans="2:8" ht="18" customHeight="1" x14ac:dyDescent="0.2">
      <c r="B14" s="2">
        <v>6</v>
      </c>
      <c r="C14" s="295" t="s">
        <v>78</v>
      </c>
      <c r="D14" s="292">
        <v>44.053146838533294</v>
      </c>
      <c r="E14" s="292">
        <v>46.029272036981268</v>
      </c>
      <c r="F14" s="292">
        <v>47.870442918460519</v>
      </c>
      <c r="H14" s="145"/>
    </row>
    <row r="15" spans="2:8" ht="18" customHeight="1" x14ac:dyDescent="0.2">
      <c r="B15" s="2">
        <v>7</v>
      </c>
      <c r="C15" s="44" t="s">
        <v>79</v>
      </c>
      <c r="D15" s="292">
        <v>42.935969103402691</v>
      </c>
      <c r="E15" s="292">
        <v>44.89241019608734</v>
      </c>
      <c r="F15" s="292">
        <v>46.688106603930834</v>
      </c>
      <c r="H15" s="145"/>
    </row>
    <row r="16" spans="2:8" ht="18" customHeight="1" x14ac:dyDescent="0.2">
      <c r="B16" s="2">
        <v>8</v>
      </c>
      <c r="C16" s="44" t="s">
        <v>80</v>
      </c>
      <c r="D16" s="292">
        <v>0.78082547835204619</v>
      </c>
      <c r="E16" s="292">
        <v>0.68890141780770742</v>
      </c>
      <c r="F16" s="292">
        <v>0.71645747452001574</v>
      </c>
      <c r="H16" s="145"/>
    </row>
    <row r="17" spans="2:8" ht="18" customHeight="1" x14ac:dyDescent="0.2">
      <c r="B17" s="2">
        <v>9</v>
      </c>
      <c r="C17" s="44" t="s">
        <v>81</v>
      </c>
      <c r="D17" s="292">
        <v>0</v>
      </c>
      <c r="E17" s="292">
        <v>0</v>
      </c>
      <c r="F17" s="292">
        <v>0</v>
      </c>
      <c r="H17" s="145"/>
    </row>
    <row r="18" spans="2:8" ht="18" customHeight="1" x14ac:dyDescent="0.2">
      <c r="B18" s="2">
        <v>10</v>
      </c>
      <c r="C18" s="44" t="s">
        <v>82</v>
      </c>
      <c r="D18" s="292">
        <v>0</v>
      </c>
      <c r="E18" s="292">
        <v>0</v>
      </c>
      <c r="F18" s="292">
        <v>0</v>
      </c>
      <c r="H18" s="145"/>
    </row>
    <row r="19" spans="2:8" ht="18" customHeight="1" x14ac:dyDescent="0.2">
      <c r="B19" s="2">
        <v>11</v>
      </c>
      <c r="C19" s="44" t="s">
        <v>83</v>
      </c>
      <c r="D19" s="292">
        <v>2.9073812329432529E-3</v>
      </c>
      <c r="E19" s="292">
        <v>3.073134655255264E-3</v>
      </c>
      <c r="F19" s="292">
        <v>3.1960600414654749E-3</v>
      </c>
      <c r="H19" s="145"/>
    </row>
    <row r="20" spans="2:8" ht="18" customHeight="1" x14ac:dyDescent="0.2">
      <c r="B20" s="2">
        <v>12</v>
      </c>
      <c r="C20" s="44" t="s">
        <v>84</v>
      </c>
      <c r="D20" s="292">
        <v>5.3559879296389088</v>
      </c>
      <c r="E20" s="292">
        <v>5.6252585712307681</v>
      </c>
      <c r="F20" s="292">
        <v>5.850268914079999</v>
      </c>
      <c r="H20" s="145"/>
    </row>
    <row r="21" spans="2:8" ht="27" customHeight="1" x14ac:dyDescent="0.2">
      <c r="B21" s="2">
        <v>13</v>
      </c>
      <c r="C21" s="44" t="s">
        <v>85</v>
      </c>
      <c r="D21" s="292">
        <v>0</v>
      </c>
      <c r="E21" s="292">
        <v>0</v>
      </c>
      <c r="F21" s="292">
        <v>0</v>
      </c>
      <c r="H21" s="145"/>
    </row>
    <row r="22" spans="2:8" ht="18" customHeight="1" x14ac:dyDescent="0.2">
      <c r="B22" s="2">
        <v>14</v>
      </c>
      <c r="C22" s="44" t="s">
        <v>86</v>
      </c>
      <c r="D22" s="292">
        <v>0</v>
      </c>
      <c r="E22" s="292">
        <v>0</v>
      </c>
      <c r="F22" s="292">
        <v>0</v>
      </c>
      <c r="H22" s="145"/>
    </row>
    <row r="23" spans="2:8" ht="18" customHeight="1" x14ac:dyDescent="0.2">
      <c r="B23" s="2">
        <v>15</v>
      </c>
      <c r="C23" s="44" t="s">
        <v>87</v>
      </c>
      <c r="D23" s="292">
        <v>0</v>
      </c>
      <c r="E23" s="292">
        <v>0</v>
      </c>
      <c r="F23" s="292">
        <v>0</v>
      </c>
      <c r="H23" s="145"/>
    </row>
    <row r="24" spans="2:8" ht="25.5" customHeight="1" x14ac:dyDescent="0.2">
      <c r="B24" s="2">
        <v>16</v>
      </c>
      <c r="C24" s="44" t="s">
        <v>88</v>
      </c>
      <c r="D24" s="292">
        <v>0</v>
      </c>
      <c r="E24" s="292">
        <v>0</v>
      </c>
      <c r="F24" s="292">
        <v>0</v>
      </c>
      <c r="H24" s="145"/>
    </row>
    <row r="25" spans="2:8" ht="18" customHeight="1" x14ac:dyDescent="0.25">
      <c r="B25" s="2">
        <v>17</v>
      </c>
      <c r="C25" s="296" t="s">
        <v>89</v>
      </c>
      <c r="D25" s="136">
        <f>SUM(D9:D24)</f>
        <v>385.05958916495274</v>
      </c>
      <c r="E25" s="137">
        <f>SUM(E9:E24)</f>
        <v>402.57772958444042</v>
      </c>
      <c r="F25" s="137">
        <f>SUM(F9:F24)</f>
        <v>418.6808387678181</v>
      </c>
      <c r="H25" s="146"/>
    </row>
    <row r="26" spans="2:8" ht="18" customHeight="1" x14ac:dyDescent="0.2">
      <c r="B26" s="2">
        <v>18</v>
      </c>
      <c r="C26" s="44" t="s">
        <v>90</v>
      </c>
      <c r="D26" s="292">
        <v>0</v>
      </c>
      <c r="E26" s="292">
        <v>0</v>
      </c>
      <c r="F26" s="292">
        <v>0</v>
      </c>
    </row>
    <row r="27" spans="2:8" ht="18" customHeight="1" x14ac:dyDescent="0.2">
      <c r="B27" s="2">
        <f>+B26+0.1</f>
        <v>18.100000000000001</v>
      </c>
      <c r="C27" s="44" t="s">
        <v>91</v>
      </c>
      <c r="D27" s="292">
        <v>0</v>
      </c>
      <c r="E27" s="292">
        <v>0</v>
      </c>
      <c r="F27" s="292">
        <v>0</v>
      </c>
    </row>
    <row r="28" spans="2:8" ht="18" customHeight="1" x14ac:dyDescent="0.2">
      <c r="B28" s="2">
        <f>+B27+0.1</f>
        <v>18.200000000000003</v>
      </c>
      <c r="C28" s="44" t="s">
        <v>92</v>
      </c>
      <c r="D28" s="292">
        <v>18.704638939402358</v>
      </c>
      <c r="E28" s="292">
        <v>19.52579660528539</v>
      </c>
      <c r="F28" s="292">
        <v>20.306828469496807</v>
      </c>
    </row>
    <row r="29" spans="2:8" ht="18" customHeight="1" x14ac:dyDescent="0.2">
      <c r="B29" s="2">
        <f>+B28+0.1</f>
        <v>18.300000000000004</v>
      </c>
      <c r="C29" s="44" t="s">
        <v>93</v>
      </c>
      <c r="D29" s="292">
        <v>0</v>
      </c>
      <c r="E29" s="292">
        <v>0</v>
      </c>
      <c r="F29" s="292">
        <v>0</v>
      </c>
    </row>
    <row r="30" spans="2:8" ht="18" customHeight="1" x14ac:dyDescent="0.2">
      <c r="B30" s="2">
        <f>+B29+0.1</f>
        <v>18.400000000000006</v>
      </c>
      <c r="C30" s="44" t="s">
        <v>94</v>
      </c>
      <c r="D30" s="292">
        <v>78.31950693919633</v>
      </c>
      <c r="E30" s="292">
        <v>82.189089680670747</v>
      </c>
      <c r="F30" s="292">
        <v>85.476653267897575</v>
      </c>
    </row>
    <row r="31" spans="2:8" ht="27" customHeight="1" x14ac:dyDescent="0.2">
      <c r="B31" s="2">
        <v>19</v>
      </c>
      <c r="C31" s="44" t="s">
        <v>393</v>
      </c>
      <c r="D31" s="292">
        <v>0</v>
      </c>
      <c r="E31" s="292">
        <v>0</v>
      </c>
      <c r="F31" s="292">
        <v>0</v>
      </c>
    </row>
    <row r="32" spans="2:8" ht="18" customHeight="1" x14ac:dyDescent="0.2">
      <c r="B32" s="2">
        <v>20</v>
      </c>
      <c r="C32" s="44" t="s">
        <v>95</v>
      </c>
      <c r="D32" s="292">
        <v>0</v>
      </c>
      <c r="E32" s="292">
        <v>0</v>
      </c>
      <c r="F32" s="292">
        <v>0</v>
      </c>
    </row>
    <row r="33" spans="2:6" ht="18" customHeight="1" x14ac:dyDescent="0.25">
      <c r="B33" s="14">
        <v>21</v>
      </c>
      <c r="C33" s="296" t="s">
        <v>96</v>
      </c>
      <c r="D33" s="124">
        <f>SUM(D25:D32)</f>
        <v>482.08373504355143</v>
      </c>
      <c r="E33" s="124">
        <f>SUM(E25:E32)</f>
        <v>504.29261587039656</v>
      </c>
      <c r="F33" s="124">
        <f>SUM(F25:F32)</f>
        <v>524.46432050521253</v>
      </c>
    </row>
    <row r="34" spans="2:6" ht="18" customHeight="1" x14ac:dyDescent="0.25">
      <c r="B34" s="2">
        <v>22</v>
      </c>
      <c r="C34" s="44" t="s">
        <v>17</v>
      </c>
      <c r="D34" s="275"/>
      <c r="E34" s="276"/>
      <c r="F34" s="276"/>
    </row>
    <row r="35" spans="2:6" ht="18" customHeight="1" x14ac:dyDescent="0.2">
      <c r="B35" s="14">
        <v>23</v>
      </c>
      <c r="C35" s="297" t="s">
        <v>97</v>
      </c>
      <c r="D35" s="190">
        <f>ROUND(D33-D34,2)</f>
        <v>482.08</v>
      </c>
      <c r="E35" s="190">
        <f t="shared" ref="E35:F35" si="0">ROUND(E33-E34,2)</f>
        <v>504.29</v>
      </c>
      <c r="F35" s="190">
        <f t="shared" si="0"/>
        <v>524.46</v>
      </c>
    </row>
    <row r="36" spans="2:6" ht="27.75" customHeight="1" x14ac:dyDescent="0.2">
      <c r="B36" s="42"/>
      <c r="D36" s="147"/>
    </row>
    <row r="37" spans="2:6" x14ac:dyDescent="0.2">
      <c r="B37" s="43"/>
    </row>
  </sheetData>
  <mergeCells count="5">
    <mergeCell ref="B6:B8"/>
    <mergeCell ref="C6:C8"/>
    <mergeCell ref="B1:F1"/>
    <mergeCell ref="B2:F2"/>
    <mergeCell ref="B3:F3"/>
  </mergeCells>
  <pageMargins left="1" right="0.25" top="0.25" bottom="0.25" header="0.5" footer="0.5"/>
  <pageSetup paperSize="9" scale="93" orientation="landscape" r:id="rId1"/>
  <headerFooter alignWithMargins="0"/>
  <rowBreaks count="1" manualBreakCount="1">
    <brk id="35" min="1" max="8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F38"/>
  <sheetViews>
    <sheetView showGridLines="0" view="pageBreakPreview" topLeftCell="A14" zoomScale="96" zoomScaleSheetLayoutView="96" workbookViewId="0">
      <selection activeCell="F38" sqref="F38"/>
    </sheetView>
  </sheetViews>
  <sheetFormatPr defaultColWidth="9.28515625" defaultRowHeight="14.25" x14ac:dyDescent="0.2"/>
  <cols>
    <col min="1" max="1" width="2" style="13" customWidth="1"/>
    <col min="2" max="2" width="7" style="53" customWidth="1"/>
    <col min="3" max="3" width="45.140625" style="13" customWidth="1"/>
    <col min="4" max="4" width="13.5703125" style="13" customWidth="1"/>
    <col min="5" max="5" width="12.85546875" style="13" customWidth="1"/>
    <col min="6" max="6" width="13.42578125" style="13" customWidth="1"/>
    <col min="7" max="16384" width="9.28515625" style="13"/>
  </cols>
  <sheetData>
    <row r="1" spans="2:6" ht="14.25" customHeight="1" x14ac:dyDescent="0.2">
      <c r="B1" s="328" t="s">
        <v>401</v>
      </c>
      <c r="C1" s="328"/>
      <c r="D1" s="328"/>
      <c r="E1" s="328"/>
      <c r="F1" s="328"/>
    </row>
    <row r="2" spans="2:6" ht="14.25" customHeight="1" x14ac:dyDescent="0.2">
      <c r="B2" s="328" t="s">
        <v>467</v>
      </c>
      <c r="C2" s="328"/>
      <c r="D2" s="328"/>
      <c r="E2" s="328"/>
      <c r="F2" s="328"/>
    </row>
    <row r="3" spans="2:6" s="4" customFormat="1" ht="15" x14ac:dyDescent="0.2">
      <c r="B3" s="328" t="s">
        <v>405</v>
      </c>
      <c r="C3" s="328"/>
      <c r="D3" s="328"/>
      <c r="E3" s="328"/>
      <c r="F3" s="328"/>
    </row>
    <row r="4" spans="2:6" ht="15" x14ac:dyDescent="0.2">
      <c r="F4" s="26" t="s">
        <v>4</v>
      </c>
    </row>
    <row r="5" spans="2:6" ht="12.75" customHeight="1" x14ac:dyDescent="0.2">
      <c r="B5" s="323" t="s">
        <v>193</v>
      </c>
      <c r="C5" s="321" t="s">
        <v>18</v>
      </c>
      <c r="D5" s="15" t="s">
        <v>403</v>
      </c>
      <c r="E5" s="15" t="s">
        <v>404</v>
      </c>
      <c r="F5" s="23" t="s">
        <v>465</v>
      </c>
    </row>
    <row r="6" spans="2:6" ht="15" x14ac:dyDescent="0.2">
      <c r="B6" s="323"/>
      <c r="C6" s="321"/>
      <c r="D6" s="15" t="s">
        <v>240</v>
      </c>
      <c r="E6" s="15" t="s">
        <v>239</v>
      </c>
      <c r="F6" s="15" t="s">
        <v>239</v>
      </c>
    </row>
    <row r="7" spans="2:6" ht="15" x14ac:dyDescent="0.2">
      <c r="B7" s="323"/>
      <c r="C7" s="321"/>
      <c r="D7" s="15" t="s">
        <v>12</v>
      </c>
      <c r="E7" s="15" t="s">
        <v>5</v>
      </c>
      <c r="F7" s="15" t="s">
        <v>8</v>
      </c>
    </row>
    <row r="8" spans="2:6" x14ac:dyDescent="0.2">
      <c r="B8" s="2">
        <v>1</v>
      </c>
      <c r="C8" s="298" t="s">
        <v>98</v>
      </c>
      <c r="D8" s="292">
        <v>5.0124094362966902</v>
      </c>
      <c r="E8" s="292">
        <v>5.3688798650979805</v>
      </c>
      <c r="F8" s="292">
        <v>5.6910126570038599</v>
      </c>
    </row>
    <row r="9" spans="2:6" x14ac:dyDescent="0.2">
      <c r="B9" s="2">
        <v>2</v>
      </c>
      <c r="C9" s="51" t="s">
        <v>99</v>
      </c>
      <c r="D9" s="292">
        <v>0</v>
      </c>
      <c r="E9" s="292">
        <v>0</v>
      </c>
      <c r="F9" s="292">
        <v>0</v>
      </c>
    </row>
    <row r="10" spans="2:6" x14ac:dyDescent="0.2">
      <c r="B10" s="2">
        <v>3</v>
      </c>
      <c r="C10" s="51" t="s">
        <v>100</v>
      </c>
      <c r="D10" s="292">
        <v>0.16817130805737757</v>
      </c>
      <c r="E10" s="292">
        <v>0.17985236956881115</v>
      </c>
      <c r="F10" s="292">
        <v>0.19064351174293984</v>
      </c>
    </row>
    <row r="11" spans="2:6" x14ac:dyDescent="0.2">
      <c r="B11" s="2">
        <v>4</v>
      </c>
      <c r="C11" s="51" t="s">
        <v>101</v>
      </c>
      <c r="D11" s="292">
        <v>0.34825479230998269</v>
      </c>
      <c r="E11" s="292">
        <v>0.37151900046073977</v>
      </c>
      <c r="F11" s="292">
        <v>0.3938101404883842</v>
      </c>
    </row>
    <row r="12" spans="2:6" x14ac:dyDescent="0.2">
      <c r="B12" s="2">
        <v>5</v>
      </c>
      <c r="C12" s="51" t="s">
        <v>102</v>
      </c>
      <c r="D12" s="292">
        <v>8.1751782443557616E-2</v>
      </c>
      <c r="E12" s="292">
        <v>8.8085965854930531E-2</v>
      </c>
      <c r="F12" s="292">
        <v>9.3371123806226364E-2</v>
      </c>
    </row>
    <row r="13" spans="2:6" x14ac:dyDescent="0.2">
      <c r="B13" s="2">
        <v>6</v>
      </c>
      <c r="C13" s="51" t="s">
        <v>103</v>
      </c>
      <c r="D13" s="292">
        <v>8.195897335298305E-2</v>
      </c>
      <c r="E13" s="292">
        <v>8.7590669937300247E-2</v>
      </c>
      <c r="F13" s="292">
        <v>9.2846110133538273E-2</v>
      </c>
    </row>
    <row r="14" spans="2:6" x14ac:dyDescent="0.2">
      <c r="B14" s="2">
        <v>7</v>
      </c>
      <c r="C14" s="51" t="s">
        <v>104</v>
      </c>
      <c r="D14" s="292">
        <v>6.8697280745118228</v>
      </c>
      <c r="E14" s="292">
        <v>7.2394069210826162</v>
      </c>
      <c r="F14" s="292">
        <v>7.6737713363475732</v>
      </c>
    </row>
    <row r="15" spans="2:6" x14ac:dyDescent="0.2">
      <c r="B15" s="2">
        <v>8</v>
      </c>
      <c r="C15" s="51" t="s">
        <v>105</v>
      </c>
      <c r="D15" s="292">
        <v>2.7339478929251071E-3</v>
      </c>
      <c r="E15" s="292">
        <v>2.9307383397861038E-3</v>
      </c>
      <c r="F15" s="292">
        <v>3.10658264017327E-3</v>
      </c>
    </row>
    <row r="16" spans="2:6" x14ac:dyDescent="0.2">
      <c r="B16" s="2">
        <v>9</v>
      </c>
      <c r="C16" s="51" t="s">
        <v>106</v>
      </c>
      <c r="D16" s="292">
        <v>8.5337258802482854</v>
      </c>
      <c r="E16" s="292">
        <v>9.1437881412865742</v>
      </c>
      <c r="F16" s="292">
        <v>9.6924154297637699</v>
      </c>
    </row>
    <row r="17" spans="2:6" x14ac:dyDescent="0.2">
      <c r="B17" s="2">
        <v>10</v>
      </c>
      <c r="C17" s="51" t="s">
        <v>107</v>
      </c>
      <c r="D17" s="292">
        <v>0.4532175674422203</v>
      </c>
      <c r="E17" s="292">
        <v>0.48584031341810774</v>
      </c>
      <c r="F17" s="292">
        <v>0.51499073222319425</v>
      </c>
    </row>
    <row r="18" spans="2:6" x14ac:dyDescent="0.2">
      <c r="B18" s="2">
        <v>11</v>
      </c>
      <c r="C18" s="51" t="s">
        <v>108</v>
      </c>
      <c r="D18" s="292">
        <v>3.2259334331934892E-3</v>
      </c>
      <c r="E18" s="292">
        <v>3.4546327400148146E-3</v>
      </c>
      <c r="F18" s="292">
        <v>3.6619107044157037E-3</v>
      </c>
    </row>
    <row r="19" spans="2:6" x14ac:dyDescent="0.2">
      <c r="B19" s="2">
        <v>12</v>
      </c>
      <c r="C19" s="51" t="s">
        <v>109</v>
      </c>
      <c r="D19" s="292">
        <v>0</v>
      </c>
      <c r="E19" s="292">
        <v>0</v>
      </c>
      <c r="F19" s="292">
        <v>0</v>
      </c>
    </row>
    <row r="20" spans="2:6" x14ac:dyDescent="0.2">
      <c r="B20" s="2">
        <v>13</v>
      </c>
      <c r="C20" s="51" t="s">
        <v>110</v>
      </c>
      <c r="D20" s="292">
        <v>3.0449554308478014E-2</v>
      </c>
      <c r="E20" s="292">
        <v>3.2615280067440702E-2</v>
      </c>
      <c r="F20" s="292">
        <v>3.4572196871487146E-2</v>
      </c>
    </row>
    <row r="21" spans="2:6" x14ac:dyDescent="0.2">
      <c r="B21" s="2">
        <v>14</v>
      </c>
      <c r="C21" s="51" t="s">
        <v>111</v>
      </c>
      <c r="D21" s="292">
        <v>0.16820406204392688</v>
      </c>
      <c r="E21" s="292">
        <v>0.18109730694213277</v>
      </c>
      <c r="F21" s="292">
        <v>0.19196314535866074</v>
      </c>
    </row>
    <row r="22" spans="2:6" x14ac:dyDescent="0.2">
      <c r="B22" s="2">
        <v>15</v>
      </c>
      <c r="C22" s="51" t="s">
        <v>112</v>
      </c>
      <c r="D22" s="292">
        <v>0</v>
      </c>
      <c r="E22" s="292">
        <v>0</v>
      </c>
      <c r="F22" s="292">
        <v>0</v>
      </c>
    </row>
    <row r="23" spans="2:6" x14ac:dyDescent="0.2">
      <c r="B23" s="2">
        <v>16</v>
      </c>
      <c r="C23" s="298" t="s">
        <v>113</v>
      </c>
      <c r="D23" s="292">
        <v>0</v>
      </c>
      <c r="E23" s="292">
        <v>0</v>
      </c>
      <c r="F23" s="292">
        <v>0</v>
      </c>
    </row>
    <row r="24" spans="2:6" x14ac:dyDescent="0.2">
      <c r="B24" s="2">
        <v>17</v>
      </c>
      <c r="C24" s="298" t="s">
        <v>114</v>
      </c>
      <c r="D24" s="292">
        <v>0</v>
      </c>
      <c r="E24" s="292">
        <v>0</v>
      </c>
      <c r="F24" s="292">
        <v>0</v>
      </c>
    </row>
    <row r="25" spans="2:6" x14ac:dyDescent="0.2">
      <c r="B25" s="2">
        <v>18</v>
      </c>
      <c r="C25" s="51" t="s">
        <v>115</v>
      </c>
      <c r="D25" s="292">
        <v>3.6941756702862288E-2</v>
      </c>
      <c r="E25" s="292">
        <v>3.9600836207705513E-2</v>
      </c>
      <c r="F25" s="292">
        <v>4.1976886380167847E-2</v>
      </c>
    </row>
    <row r="26" spans="2:6" x14ac:dyDescent="0.2">
      <c r="B26" s="2">
        <v>19</v>
      </c>
      <c r="C26" s="51" t="s">
        <v>116</v>
      </c>
      <c r="D26" s="292">
        <v>2.0184163193558069</v>
      </c>
      <c r="E26" s="292">
        <v>2.1266072126083841</v>
      </c>
      <c r="F26" s="292">
        <v>2.2542036453648873</v>
      </c>
    </row>
    <row r="27" spans="2:6" x14ac:dyDescent="0.2">
      <c r="B27" s="2">
        <v>20</v>
      </c>
      <c r="C27" s="51" t="s">
        <v>117</v>
      </c>
      <c r="D27" s="292">
        <v>0</v>
      </c>
      <c r="E27" s="292">
        <v>0</v>
      </c>
      <c r="F27" s="292">
        <v>0</v>
      </c>
    </row>
    <row r="28" spans="2:6" x14ac:dyDescent="0.2">
      <c r="B28" s="2">
        <v>21</v>
      </c>
      <c r="C28" s="51" t="s">
        <v>118</v>
      </c>
      <c r="D28" s="292">
        <v>0</v>
      </c>
      <c r="E28" s="292">
        <v>0</v>
      </c>
      <c r="F28" s="292">
        <v>0</v>
      </c>
    </row>
    <row r="29" spans="2:6" x14ac:dyDescent="0.2">
      <c r="B29" s="2">
        <v>22</v>
      </c>
      <c r="C29" s="51" t="s">
        <v>119</v>
      </c>
      <c r="D29" s="292">
        <v>8.7419416056622151E-2</v>
      </c>
      <c r="E29" s="292">
        <v>9.4396100385553863E-2</v>
      </c>
      <c r="F29" s="292">
        <v>0.1000598664086871</v>
      </c>
    </row>
    <row r="30" spans="2:6" x14ac:dyDescent="0.2">
      <c r="B30" s="2">
        <v>23</v>
      </c>
      <c r="C30" s="51" t="s">
        <v>120</v>
      </c>
      <c r="D30" s="292">
        <v>0</v>
      </c>
      <c r="E30" s="292">
        <v>0</v>
      </c>
      <c r="F30" s="292">
        <v>0</v>
      </c>
    </row>
    <row r="31" spans="2:6" x14ac:dyDescent="0.2">
      <c r="B31" s="2">
        <v>24</v>
      </c>
      <c r="C31" s="51" t="s">
        <v>121</v>
      </c>
      <c r="D31" s="292">
        <v>8.2917993875048557E-2</v>
      </c>
      <c r="E31" s="292">
        <v>8.9074311730200473E-2</v>
      </c>
      <c r="F31" s="292">
        <v>9.4418770434012506E-2</v>
      </c>
    </row>
    <row r="32" spans="2:6" x14ac:dyDescent="0.2">
      <c r="B32" s="2">
        <v>25</v>
      </c>
      <c r="C32" s="51" t="s">
        <v>122</v>
      </c>
      <c r="D32" s="292">
        <v>0</v>
      </c>
      <c r="E32" s="292">
        <v>0</v>
      </c>
      <c r="F32" s="292">
        <v>0</v>
      </c>
    </row>
    <row r="33" spans="2:6" x14ac:dyDescent="0.2">
      <c r="B33" s="2">
        <v>26</v>
      </c>
      <c r="C33" s="51" t="s">
        <v>123</v>
      </c>
      <c r="D33" s="292">
        <v>0</v>
      </c>
      <c r="E33" s="292">
        <v>0</v>
      </c>
      <c r="F33" s="292">
        <v>0</v>
      </c>
    </row>
    <row r="34" spans="2:6" x14ac:dyDescent="0.2">
      <c r="B34" s="2">
        <v>27</v>
      </c>
      <c r="C34" s="51" t="s">
        <v>124</v>
      </c>
      <c r="D34" s="292">
        <v>2.1670640967257227E-2</v>
      </c>
      <c r="E34" s="292">
        <v>2.28585917683654E-2</v>
      </c>
      <c r="F34" s="292">
        <v>2.4230107274467325E-2</v>
      </c>
    </row>
    <row r="35" spans="2:6" x14ac:dyDescent="0.2">
      <c r="B35" s="2">
        <v>28</v>
      </c>
      <c r="C35" s="51" t="s">
        <v>95</v>
      </c>
      <c r="D35" s="292">
        <v>-2.2232976151131489</v>
      </c>
      <c r="E35" s="292">
        <v>0.11324418824740175</v>
      </c>
      <c r="F35" s="292">
        <v>0.12003883954224585</v>
      </c>
    </row>
    <row r="36" spans="2:6" ht="15" x14ac:dyDescent="0.25">
      <c r="B36" s="2">
        <v>29</v>
      </c>
      <c r="C36" s="52" t="s">
        <v>125</v>
      </c>
      <c r="D36" s="113">
        <f>SUM(D8:D35)</f>
        <v>21.777899824185891</v>
      </c>
      <c r="E36" s="113">
        <f>SUM(E8:E35)</f>
        <v>25.67084244574405</v>
      </c>
      <c r="F36" s="113">
        <f>SUM(F8:F35)</f>
        <v>27.211092992488688</v>
      </c>
    </row>
    <row r="37" spans="2:6" ht="15" x14ac:dyDescent="0.25">
      <c r="B37" s="2">
        <v>30</v>
      </c>
      <c r="C37" s="299" t="s">
        <v>17</v>
      </c>
      <c r="D37" s="278"/>
      <c r="E37" s="277"/>
      <c r="F37" s="277"/>
    </row>
    <row r="38" spans="2:6" ht="15" x14ac:dyDescent="0.2">
      <c r="B38" s="2">
        <v>31</v>
      </c>
      <c r="C38" s="19" t="s">
        <v>126</v>
      </c>
      <c r="D38" s="113">
        <f>ROUND(D36-D37,2)</f>
        <v>21.78</v>
      </c>
      <c r="E38" s="113">
        <f t="shared" ref="E38:F38" si="0">ROUND(E36-E37,2)</f>
        <v>25.67</v>
      </c>
      <c r="F38" s="113">
        <f t="shared" si="0"/>
        <v>27.21</v>
      </c>
    </row>
  </sheetData>
  <mergeCells count="5">
    <mergeCell ref="B5:B7"/>
    <mergeCell ref="C5:C7"/>
    <mergeCell ref="B3:F3"/>
    <mergeCell ref="B2:F2"/>
    <mergeCell ref="B1:F1"/>
  </mergeCells>
  <pageMargins left="0.75" right="0.25" top="0.25" bottom="0.25" header="0.5" footer="0.5"/>
  <pageSetup paperSize="9" fitToWidth="0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22"/>
  <sheetViews>
    <sheetView showGridLines="0" view="pageBreakPreview" topLeftCell="B1" zoomScale="90" zoomScaleNormal="98" zoomScaleSheetLayoutView="90" workbookViewId="0">
      <selection activeCell="F18" sqref="F18"/>
    </sheetView>
  </sheetViews>
  <sheetFormatPr defaultColWidth="9.28515625" defaultRowHeight="14.25" x14ac:dyDescent="0.2"/>
  <cols>
    <col min="1" max="1" width="4.5703125" style="13" customWidth="1"/>
    <col min="2" max="2" width="8.7109375" style="53" customWidth="1"/>
    <col min="3" max="3" width="45.7109375" style="13" customWidth="1"/>
    <col min="4" max="5" width="15.7109375" style="13" customWidth="1"/>
    <col min="6" max="6" width="12.28515625" style="13" customWidth="1"/>
    <col min="7" max="16384" width="9.28515625" style="13"/>
  </cols>
  <sheetData>
    <row r="2" spans="2:6" ht="14.25" customHeight="1" x14ac:dyDescent="0.2">
      <c r="B2" s="328" t="s">
        <v>401</v>
      </c>
      <c r="C2" s="328"/>
      <c r="D2" s="328"/>
      <c r="E2" s="328"/>
      <c r="F2" s="328"/>
    </row>
    <row r="3" spans="2:6" ht="14.25" customHeight="1" x14ac:dyDescent="0.2">
      <c r="B3" s="328" t="s">
        <v>467</v>
      </c>
      <c r="C3" s="328"/>
      <c r="D3" s="328"/>
      <c r="E3" s="328"/>
      <c r="F3" s="328"/>
    </row>
    <row r="4" spans="2:6" s="4" customFormat="1" ht="14.25" customHeight="1" x14ac:dyDescent="0.2">
      <c r="B4" s="328" t="s">
        <v>269</v>
      </c>
      <c r="C4" s="328"/>
      <c r="D4" s="328"/>
      <c r="E4" s="328"/>
      <c r="F4" s="328"/>
    </row>
    <row r="6" spans="2:6" ht="15" x14ac:dyDescent="0.2">
      <c r="F6" s="26" t="s">
        <v>4</v>
      </c>
    </row>
    <row r="7" spans="2:6" ht="12.75" customHeight="1" x14ac:dyDescent="0.2">
      <c r="B7" s="323" t="s">
        <v>193</v>
      </c>
      <c r="C7" s="321" t="s">
        <v>18</v>
      </c>
      <c r="D7" s="15" t="s">
        <v>403</v>
      </c>
      <c r="E7" s="15" t="s">
        <v>404</v>
      </c>
      <c r="F7" s="23" t="s">
        <v>465</v>
      </c>
    </row>
    <row r="8" spans="2:6" ht="15" x14ac:dyDescent="0.2">
      <c r="B8" s="323"/>
      <c r="C8" s="321"/>
      <c r="D8" s="15" t="s">
        <v>240</v>
      </c>
      <c r="E8" s="15" t="s">
        <v>239</v>
      </c>
      <c r="F8" s="15" t="s">
        <v>239</v>
      </c>
    </row>
    <row r="9" spans="2:6" ht="15" x14ac:dyDescent="0.2">
      <c r="B9" s="323"/>
      <c r="C9" s="321"/>
      <c r="D9" s="15" t="s">
        <v>12</v>
      </c>
      <c r="E9" s="15" t="s">
        <v>5</v>
      </c>
      <c r="F9" s="15" t="s">
        <v>8</v>
      </c>
    </row>
    <row r="10" spans="2:6" x14ac:dyDescent="0.2">
      <c r="B10" s="2">
        <v>1</v>
      </c>
      <c r="C10" s="51" t="s">
        <v>127</v>
      </c>
      <c r="D10" s="292">
        <v>23.952229420857336</v>
      </c>
      <c r="E10" s="292">
        <v>25.433788143884762</v>
      </c>
      <c r="F10" s="292">
        <v>26.95981543251785</v>
      </c>
    </row>
    <row r="11" spans="2:6" x14ac:dyDescent="0.2">
      <c r="B11" s="2">
        <v>2</v>
      </c>
      <c r="C11" s="51" t="s">
        <v>128</v>
      </c>
      <c r="D11" s="292">
        <v>7.4264294756956559</v>
      </c>
      <c r="E11" s="292">
        <v>7.890347612375086</v>
      </c>
      <c r="F11" s="292">
        <v>8.3637684691175913</v>
      </c>
    </row>
    <row r="12" spans="2:6" x14ac:dyDescent="0.2">
      <c r="B12" s="2">
        <v>3</v>
      </c>
      <c r="C12" s="51" t="s">
        <v>129</v>
      </c>
      <c r="D12" s="292">
        <v>0</v>
      </c>
      <c r="E12" s="292">
        <v>0</v>
      </c>
      <c r="F12" s="292">
        <v>0</v>
      </c>
    </row>
    <row r="13" spans="2:6" x14ac:dyDescent="0.2">
      <c r="B13" s="2">
        <v>4</v>
      </c>
      <c r="C13" s="51" t="s">
        <v>130</v>
      </c>
      <c r="D13" s="292">
        <v>0</v>
      </c>
      <c r="E13" s="292">
        <v>0</v>
      </c>
      <c r="F13" s="292">
        <v>0</v>
      </c>
    </row>
    <row r="14" spans="2:6" x14ac:dyDescent="0.2">
      <c r="B14" s="2">
        <v>5</v>
      </c>
      <c r="C14" s="51" t="s">
        <v>131</v>
      </c>
      <c r="D14" s="292">
        <v>0.9214382624513302</v>
      </c>
      <c r="E14" s="292">
        <v>0.97090570521461572</v>
      </c>
      <c r="F14" s="292">
        <v>1.0291600475274927</v>
      </c>
    </row>
    <row r="15" spans="2:6" x14ac:dyDescent="0.2">
      <c r="B15" s="2">
        <v>6</v>
      </c>
      <c r="C15" s="51" t="s">
        <v>132</v>
      </c>
      <c r="D15" s="292">
        <v>8.8510475015259868E-2</v>
      </c>
      <c r="E15" s="292">
        <v>9.4357898406287166E-2</v>
      </c>
      <c r="F15" s="292">
        <v>0.10001937231066441</v>
      </c>
    </row>
    <row r="16" spans="2:6" x14ac:dyDescent="0.2">
      <c r="B16" s="2">
        <v>7</v>
      </c>
      <c r="C16" s="51" t="s">
        <v>133</v>
      </c>
      <c r="D16" s="292">
        <v>0</v>
      </c>
      <c r="E16" s="292">
        <v>0</v>
      </c>
      <c r="F16" s="292">
        <v>0</v>
      </c>
    </row>
    <row r="17" spans="2:6" x14ac:dyDescent="0.2">
      <c r="B17" s="2">
        <v>8</v>
      </c>
      <c r="C17" s="51" t="s">
        <v>134</v>
      </c>
      <c r="D17" s="292">
        <v>0.48952887216384755</v>
      </c>
      <c r="E17" s="292">
        <v>0.5168928451985999</v>
      </c>
      <c r="F17" s="292">
        <v>0.54790641591051592</v>
      </c>
    </row>
    <row r="18" spans="2:6" ht="15" x14ac:dyDescent="0.25">
      <c r="B18" s="2">
        <v>9</v>
      </c>
      <c r="C18" s="52" t="s">
        <v>135</v>
      </c>
      <c r="D18" s="113">
        <f>ROUND(SUM(D10:D17),2)</f>
        <v>32.880000000000003</v>
      </c>
      <c r="E18" s="113">
        <f t="shared" ref="E18:F18" si="0">ROUND(SUM(E10:E17),2)</f>
        <v>34.909999999999997</v>
      </c>
      <c r="F18" s="113">
        <f t="shared" si="0"/>
        <v>37</v>
      </c>
    </row>
    <row r="19" spans="2:6" ht="15" x14ac:dyDescent="0.25">
      <c r="B19" s="2"/>
      <c r="C19" s="50"/>
      <c r="D19" s="278"/>
      <c r="E19" s="279"/>
      <c r="F19" s="280"/>
    </row>
    <row r="20" spans="2:6" ht="15" x14ac:dyDescent="0.2">
      <c r="B20" s="2">
        <v>10</v>
      </c>
      <c r="C20" s="54" t="s">
        <v>136</v>
      </c>
      <c r="D20" s="113">
        <f>'F4'!F21</f>
        <v>5109.13</v>
      </c>
      <c r="E20" s="113">
        <f>'F4'!F37</f>
        <v>5112.57</v>
      </c>
      <c r="F20" s="113">
        <f>'F4'!F53</f>
        <v>5112.57</v>
      </c>
    </row>
    <row r="21" spans="2:6" ht="28.5" x14ac:dyDescent="0.2">
      <c r="B21" s="2">
        <v>11</v>
      </c>
      <c r="C21" s="54" t="s">
        <v>137</v>
      </c>
      <c r="D21" s="123">
        <f>IFERROR(D18/D20,0)</f>
        <v>6.4355379487309973E-3</v>
      </c>
      <c r="E21" s="123">
        <f>IFERROR(E18/E20,0)</f>
        <v>6.8282683660077026E-3</v>
      </c>
      <c r="F21" s="123">
        <f>IFERROR(F18/F20,0)</f>
        <v>7.2370647247861648E-3</v>
      </c>
    </row>
    <row r="22" spans="2:6" x14ac:dyDescent="0.2">
      <c r="B22" s="2"/>
      <c r="C22" s="50"/>
      <c r="D22" s="3"/>
      <c r="E22" s="3"/>
      <c r="F22" s="3"/>
    </row>
  </sheetData>
  <mergeCells count="5">
    <mergeCell ref="B7:B9"/>
    <mergeCell ref="C7:C9"/>
    <mergeCell ref="B4:F4"/>
    <mergeCell ref="B3:F3"/>
    <mergeCell ref="B2:F2"/>
  </mergeCells>
  <pageMargins left="1.25" right="0.75" top="1" bottom="1" header="0.5" footer="0.5"/>
  <pageSetup paperSize="9" scale="115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J16"/>
  <sheetViews>
    <sheetView view="pageBreakPreview" zoomScale="90" zoomScaleNormal="118" zoomScaleSheetLayoutView="90" workbookViewId="0">
      <selection activeCell="J21" sqref="J21"/>
    </sheetView>
  </sheetViews>
  <sheetFormatPr defaultColWidth="9.28515625" defaultRowHeight="14.25" x14ac:dyDescent="0.2"/>
  <cols>
    <col min="1" max="1" width="4.28515625" style="4" customWidth="1"/>
    <col min="2" max="2" width="6.28515625" style="4" customWidth="1"/>
    <col min="3" max="3" width="34.5703125" style="4" customWidth="1"/>
    <col min="4" max="4" width="13.7109375" style="4" bestFit="1" customWidth="1"/>
    <col min="5" max="5" width="12.5703125" style="4" bestFit="1" customWidth="1"/>
    <col min="6" max="6" width="13.42578125" style="4" bestFit="1" customWidth="1"/>
    <col min="7" max="7" width="13.7109375" style="4" bestFit="1" customWidth="1"/>
    <col min="8" max="8" width="15.140625" style="4" customWidth="1"/>
    <col min="9" max="9" width="11.7109375" style="4" bestFit="1" customWidth="1"/>
    <col min="10" max="10" width="13.42578125" style="4" customWidth="1"/>
    <col min="11" max="16384" width="9.28515625" style="4"/>
  </cols>
  <sheetData>
    <row r="1" spans="2:10" ht="15" x14ac:dyDescent="0.25">
      <c r="B1" s="55"/>
    </row>
    <row r="2" spans="2:10" ht="14.25" customHeight="1" x14ac:dyDescent="0.2">
      <c r="B2" s="328" t="s">
        <v>401</v>
      </c>
      <c r="C2" s="328"/>
      <c r="D2" s="328"/>
      <c r="E2" s="328"/>
      <c r="F2" s="328"/>
      <c r="G2" s="328"/>
      <c r="H2" s="328"/>
      <c r="I2" s="328"/>
      <c r="J2" s="328"/>
    </row>
    <row r="3" spans="2:10" ht="14.25" customHeight="1" x14ac:dyDescent="0.2">
      <c r="B3" s="328" t="s">
        <v>467</v>
      </c>
      <c r="C3" s="328"/>
      <c r="D3" s="328"/>
      <c r="E3" s="328"/>
      <c r="F3" s="328"/>
      <c r="G3" s="328"/>
      <c r="H3" s="328"/>
      <c r="I3" s="328"/>
      <c r="J3" s="328"/>
    </row>
    <row r="4" spans="2:10" ht="14.25" customHeight="1" x14ac:dyDescent="0.2">
      <c r="B4" s="328" t="s">
        <v>270</v>
      </c>
      <c r="C4" s="328"/>
      <c r="D4" s="328"/>
      <c r="E4" s="328"/>
      <c r="F4" s="328"/>
      <c r="G4" s="328"/>
      <c r="H4" s="328"/>
      <c r="I4" s="328"/>
      <c r="J4" s="328"/>
    </row>
    <row r="5" spans="2:10" ht="15" x14ac:dyDescent="0.25">
      <c r="B5" s="36"/>
      <c r="C5" s="56"/>
      <c r="D5" s="56"/>
      <c r="E5" s="56"/>
      <c r="F5" s="56"/>
      <c r="G5" s="56"/>
      <c r="H5" s="56"/>
    </row>
    <row r="6" spans="2:10" ht="15" x14ac:dyDescent="0.2">
      <c r="J6" s="26" t="s">
        <v>4</v>
      </c>
    </row>
    <row r="7" spans="2:10" s="13" customFormat="1" ht="15" customHeight="1" x14ac:dyDescent="0.2">
      <c r="B7" s="318" t="s">
        <v>193</v>
      </c>
      <c r="C7" s="321" t="s">
        <v>18</v>
      </c>
      <c r="D7" s="325" t="s">
        <v>403</v>
      </c>
      <c r="E7" s="326"/>
      <c r="F7" s="327"/>
      <c r="G7" s="325" t="s">
        <v>404</v>
      </c>
      <c r="H7" s="327"/>
      <c r="I7" s="325" t="s">
        <v>465</v>
      </c>
      <c r="J7" s="327"/>
    </row>
    <row r="8" spans="2:10" s="13" customFormat="1" ht="45" x14ac:dyDescent="0.2">
      <c r="B8" s="319"/>
      <c r="C8" s="321"/>
      <c r="D8" s="15" t="s">
        <v>370</v>
      </c>
      <c r="E8" s="15" t="s">
        <v>240</v>
      </c>
      <c r="F8" s="15" t="s">
        <v>208</v>
      </c>
      <c r="G8" s="15" t="s">
        <v>370</v>
      </c>
      <c r="H8" s="15" t="s">
        <v>239</v>
      </c>
      <c r="I8" s="15" t="s">
        <v>370</v>
      </c>
      <c r="J8" s="15" t="s">
        <v>239</v>
      </c>
    </row>
    <row r="9" spans="2:10" s="13" customFormat="1" ht="15" x14ac:dyDescent="0.2">
      <c r="B9" s="320"/>
      <c r="C9" s="322"/>
      <c r="D9" s="15" t="s">
        <v>10</v>
      </c>
      <c r="E9" s="15" t="s">
        <v>12</v>
      </c>
      <c r="F9" s="15" t="s">
        <v>231</v>
      </c>
      <c r="G9" s="15" t="s">
        <v>10</v>
      </c>
      <c r="H9" s="15" t="s">
        <v>5</v>
      </c>
      <c r="I9" s="15" t="s">
        <v>10</v>
      </c>
      <c r="J9" s="15" t="s">
        <v>8</v>
      </c>
    </row>
    <row r="10" spans="2:10" s="5" customFormat="1" x14ac:dyDescent="0.2">
      <c r="B10" s="59">
        <v>1</v>
      </c>
      <c r="C10" s="27" t="s">
        <v>244</v>
      </c>
      <c r="D10" s="2"/>
      <c r="E10" s="27"/>
      <c r="F10" s="27"/>
      <c r="G10" s="112"/>
      <c r="H10" s="112">
        <f>E13</f>
        <v>0</v>
      </c>
      <c r="I10" s="112"/>
      <c r="J10" s="112">
        <f>H13</f>
        <v>0</v>
      </c>
    </row>
    <row r="11" spans="2:10" s="5" customFormat="1" x14ac:dyDescent="0.2">
      <c r="B11" s="20">
        <v>2</v>
      </c>
      <c r="C11" s="27" t="s">
        <v>273</v>
      </c>
      <c r="D11" s="2"/>
      <c r="E11" s="109">
        <v>3.44</v>
      </c>
      <c r="F11" s="109">
        <f>E11</f>
        <v>3.44</v>
      </c>
      <c r="G11" s="21"/>
      <c r="H11" s="112"/>
      <c r="I11" s="112"/>
      <c r="J11" s="112">
        <v>4.97</v>
      </c>
    </row>
    <row r="12" spans="2:10" s="5" customFormat="1" ht="15" x14ac:dyDescent="0.2">
      <c r="B12" s="20">
        <v>3</v>
      </c>
      <c r="C12" s="29" t="s">
        <v>225</v>
      </c>
      <c r="D12" s="121"/>
      <c r="E12" s="126">
        <v>3.44</v>
      </c>
      <c r="F12" s="126">
        <f>E12</f>
        <v>3.44</v>
      </c>
      <c r="G12" s="121"/>
      <c r="H12" s="111"/>
      <c r="I12" s="111"/>
      <c r="J12" s="111">
        <v>4.97</v>
      </c>
    </row>
    <row r="13" spans="2:10" s="5" customFormat="1" ht="15" x14ac:dyDescent="0.2">
      <c r="B13" s="20">
        <v>4</v>
      </c>
      <c r="C13" s="27" t="s">
        <v>245</v>
      </c>
      <c r="D13" s="122">
        <f>D10+D11-D12</f>
        <v>0</v>
      </c>
      <c r="E13" s="122">
        <f t="shared" ref="E13:J13" si="0">E10+E11-E12</f>
        <v>0</v>
      </c>
      <c r="F13" s="122">
        <f t="shared" si="0"/>
        <v>0</v>
      </c>
      <c r="G13" s="122">
        <f t="shared" si="0"/>
        <v>0</v>
      </c>
      <c r="H13" s="122">
        <f>H10+H11-H12</f>
        <v>0</v>
      </c>
      <c r="I13" s="122">
        <f>I10+I11-I12</f>
        <v>0</v>
      </c>
      <c r="J13" s="122">
        <f t="shared" si="0"/>
        <v>0</v>
      </c>
    </row>
    <row r="14" spans="2:10" s="32" customFormat="1" ht="15" x14ac:dyDescent="0.2">
      <c r="B14" s="60"/>
      <c r="C14" s="47"/>
      <c r="D14" s="57"/>
      <c r="E14" s="57"/>
      <c r="F14" s="57"/>
      <c r="G14" s="58"/>
      <c r="H14" s="24"/>
    </row>
    <row r="16" spans="2:10" x14ac:dyDescent="0.2">
      <c r="B16" s="61"/>
    </row>
  </sheetData>
  <mergeCells count="8">
    <mergeCell ref="B2:J2"/>
    <mergeCell ref="B3:J3"/>
    <mergeCell ref="B4:J4"/>
    <mergeCell ref="I7:J7"/>
    <mergeCell ref="B7:B9"/>
    <mergeCell ref="C7:C9"/>
    <mergeCell ref="D7:F7"/>
    <mergeCell ref="G7:H7"/>
  </mergeCells>
  <pageMargins left="0.27" right="0.25" top="1" bottom="1" header="0.25" footer="0.25"/>
  <pageSetup paperSize="9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P18"/>
  <sheetViews>
    <sheetView showGridLines="0" view="pageBreakPreview" zoomScale="90" zoomScaleNormal="106" zoomScaleSheetLayoutView="90" workbookViewId="0">
      <selection sqref="A1:XFD1048576"/>
    </sheetView>
  </sheetViews>
  <sheetFormatPr defaultColWidth="9.140625" defaultRowHeight="14.25" x14ac:dyDescent="0.2"/>
  <cols>
    <col min="1" max="1" width="4.140625" style="5" customWidth="1"/>
    <col min="2" max="2" width="6.28515625" style="5" customWidth="1"/>
    <col min="3" max="3" width="16.5703125" style="5" customWidth="1"/>
    <col min="4" max="4" width="22.42578125" style="5" customWidth="1"/>
    <col min="5" max="5" width="36.42578125" style="5" customWidth="1"/>
    <col min="6" max="6" width="22" style="5" customWidth="1"/>
    <col min="7" max="7" width="19.28515625" style="5" customWidth="1"/>
    <col min="8" max="8" width="21.7109375" style="5" customWidth="1"/>
    <col min="9" max="9" width="32" style="5" customWidth="1"/>
    <col min="10" max="10" width="33.28515625" style="5" customWidth="1"/>
    <col min="11" max="11" width="30.5703125" style="5" customWidth="1"/>
    <col min="12" max="12" width="26.140625" style="5" customWidth="1"/>
    <col min="13" max="13" width="13.140625" style="5" bestFit="1" customWidth="1"/>
    <col min="14" max="14" width="12.5703125" style="5" customWidth="1"/>
    <col min="15" max="15" width="11.85546875" style="5" bestFit="1" customWidth="1"/>
    <col min="16" max="16" width="13.85546875" style="5" bestFit="1" customWidth="1"/>
    <col min="17" max="21" width="11.85546875" style="5" bestFit="1" customWidth="1"/>
    <col min="22" max="22" width="11.7109375" style="5" bestFit="1" customWidth="1"/>
    <col min="23" max="16384" width="9.140625" style="5"/>
  </cols>
  <sheetData>
    <row r="1" spans="2:16" ht="15" x14ac:dyDescent="0.2">
      <c r="B1" s="308"/>
    </row>
    <row r="2" spans="2:16" ht="15" x14ac:dyDescent="0.2">
      <c r="B2" s="376" t="s">
        <v>401</v>
      </c>
      <c r="C2" s="376"/>
      <c r="D2" s="376"/>
      <c r="E2" s="376"/>
      <c r="F2" s="376"/>
      <c r="G2" s="376"/>
      <c r="H2" s="376"/>
      <c r="I2" s="376"/>
      <c r="J2" s="376"/>
      <c r="K2" s="376"/>
      <c r="L2" s="376"/>
    </row>
    <row r="3" spans="2:16" ht="15" x14ac:dyDescent="0.2">
      <c r="B3" s="376" t="s">
        <v>495</v>
      </c>
      <c r="C3" s="376"/>
      <c r="D3" s="376"/>
      <c r="E3" s="376"/>
      <c r="F3" s="376"/>
      <c r="G3" s="376"/>
      <c r="H3" s="376"/>
      <c r="I3" s="376"/>
      <c r="J3" s="376"/>
      <c r="K3" s="376"/>
      <c r="L3" s="376"/>
    </row>
    <row r="4" spans="2:16" ht="15" x14ac:dyDescent="0.2">
      <c r="B4" s="328" t="s">
        <v>271</v>
      </c>
      <c r="C4" s="328"/>
      <c r="D4" s="328"/>
      <c r="E4" s="328"/>
      <c r="F4" s="328"/>
      <c r="G4" s="328"/>
      <c r="H4" s="328"/>
      <c r="I4" s="328"/>
      <c r="J4" s="328"/>
      <c r="K4" s="328"/>
      <c r="L4" s="328"/>
    </row>
    <row r="5" spans="2:16" ht="15" x14ac:dyDescent="0.2">
      <c r="K5" s="307"/>
    </row>
    <row r="6" spans="2:16" ht="75" x14ac:dyDescent="0.2">
      <c r="B6" s="309" t="s">
        <v>193</v>
      </c>
      <c r="C6" s="377" t="s">
        <v>246</v>
      </c>
      <c r="D6" s="248" t="s">
        <v>496</v>
      </c>
      <c r="E6" s="377" t="s">
        <v>247</v>
      </c>
      <c r="F6" s="248" t="s">
        <v>249</v>
      </c>
      <c r="G6" s="248" t="s">
        <v>497</v>
      </c>
      <c r="H6" s="248" t="s">
        <v>252</v>
      </c>
      <c r="I6" s="248" t="s">
        <v>498</v>
      </c>
      <c r="J6" s="377" t="s">
        <v>248</v>
      </c>
      <c r="K6" s="248" t="s">
        <v>253</v>
      </c>
      <c r="L6" s="248" t="s">
        <v>186</v>
      </c>
      <c r="M6" s="25"/>
      <c r="N6" s="25"/>
      <c r="O6" s="25"/>
      <c r="P6" s="25"/>
    </row>
    <row r="7" spans="2:16" ht="15" x14ac:dyDescent="0.2">
      <c r="B7" s="184"/>
      <c r="C7" s="378" t="s">
        <v>499</v>
      </c>
      <c r="D7" s="255"/>
      <c r="E7" s="255"/>
      <c r="F7" s="255"/>
      <c r="G7" s="255"/>
      <c r="H7" s="255"/>
      <c r="I7" s="255"/>
      <c r="J7" s="255"/>
      <c r="K7" s="255"/>
      <c r="L7" s="255"/>
    </row>
    <row r="8" spans="2:16" ht="15" x14ac:dyDescent="0.2">
      <c r="B8" s="377">
        <v>1</v>
      </c>
      <c r="C8" s="248" t="s">
        <v>499</v>
      </c>
      <c r="D8" s="180" t="s">
        <v>500</v>
      </c>
      <c r="E8" s="379" t="s">
        <v>501</v>
      </c>
      <c r="F8" s="380">
        <v>0.19253439999999999</v>
      </c>
      <c r="G8" s="377"/>
      <c r="H8" s="380">
        <f>F8</f>
        <v>0.19253439999999999</v>
      </c>
      <c r="I8" s="180" t="s">
        <v>502</v>
      </c>
      <c r="J8" s="180"/>
      <c r="K8" s="180"/>
      <c r="L8" s="180" t="s">
        <v>503</v>
      </c>
    </row>
    <row r="9" spans="2:16" ht="15" x14ac:dyDescent="0.2">
      <c r="B9" s="377">
        <v>2</v>
      </c>
      <c r="C9" s="248"/>
      <c r="D9" s="180"/>
      <c r="E9" s="379" t="s">
        <v>127</v>
      </c>
      <c r="F9" s="380">
        <v>2.9828983</v>
      </c>
      <c r="G9" s="377"/>
      <c r="H9" s="380">
        <f>F9</f>
        <v>2.9828983</v>
      </c>
      <c r="I9" s="379" t="s">
        <v>127</v>
      </c>
      <c r="J9" s="180"/>
      <c r="K9" s="180"/>
      <c r="L9" s="180" t="s">
        <v>504</v>
      </c>
    </row>
    <row r="10" spans="2:16" ht="15" x14ac:dyDescent="0.2">
      <c r="B10" s="377">
        <v>3</v>
      </c>
      <c r="C10" s="248"/>
      <c r="D10" s="180"/>
      <c r="E10" s="379" t="s">
        <v>505</v>
      </c>
      <c r="F10" s="380">
        <v>0.12128510000000001</v>
      </c>
      <c r="G10" s="377"/>
      <c r="H10" s="380">
        <f>F10</f>
        <v>0.12128510000000001</v>
      </c>
      <c r="I10" s="379"/>
      <c r="J10" s="180"/>
      <c r="K10" s="180"/>
      <c r="L10" s="180" t="s">
        <v>506</v>
      </c>
    </row>
    <row r="11" spans="2:16" ht="15" x14ac:dyDescent="0.2">
      <c r="B11" s="377">
        <v>4</v>
      </c>
      <c r="C11" s="248"/>
      <c r="D11" s="381"/>
      <c r="E11" s="381" t="s">
        <v>133</v>
      </c>
      <c r="F11" s="380">
        <v>8.3431699999999998E-2</v>
      </c>
      <c r="G11" s="380"/>
      <c r="H11" s="380">
        <f>F11</f>
        <v>8.3431699999999998E-2</v>
      </c>
      <c r="I11" s="381"/>
      <c r="J11" s="381"/>
      <c r="K11" s="381"/>
      <c r="L11" s="381" t="s">
        <v>507</v>
      </c>
    </row>
    <row r="12" spans="2:16" ht="15" x14ac:dyDescent="0.2">
      <c r="B12" s="377">
        <v>5</v>
      </c>
      <c r="C12" s="248"/>
      <c r="D12" s="381"/>
      <c r="E12" s="381" t="s">
        <v>508</v>
      </c>
      <c r="F12" s="380">
        <v>2.4896999999999999E-2</v>
      </c>
      <c r="G12" s="380"/>
      <c r="H12" s="380">
        <f>F12</f>
        <v>2.4896999999999999E-2</v>
      </c>
      <c r="I12" s="381"/>
      <c r="J12" s="381"/>
      <c r="K12" s="381"/>
      <c r="L12" s="381"/>
    </row>
    <row r="13" spans="2:16" ht="15" x14ac:dyDescent="0.2">
      <c r="B13" s="184"/>
      <c r="C13" s="382" t="s">
        <v>139</v>
      </c>
      <c r="D13" s="255"/>
      <c r="E13" s="383"/>
      <c r="F13" s="184"/>
      <c r="G13" s="184"/>
      <c r="H13" s="380">
        <f>SUM(H8:H12)</f>
        <v>3.4050465000000001</v>
      </c>
      <c r="I13" s="255"/>
      <c r="J13" s="255"/>
      <c r="K13" s="255"/>
      <c r="L13" s="255"/>
    </row>
    <row r="14" spans="2:16" ht="15" customHeight="1" x14ac:dyDescent="0.2">
      <c r="B14" s="384">
        <v>1</v>
      </c>
      <c r="C14" s="310" t="s">
        <v>509</v>
      </c>
      <c r="D14" s="362" t="s">
        <v>129</v>
      </c>
      <c r="E14" s="385" t="s">
        <v>510</v>
      </c>
      <c r="F14" s="362">
        <v>4.97</v>
      </c>
      <c r="G14" s="310">
        <v>2</v>
      </c>
      <c r="H14" s="310">
        <v>0</v>
      </c>
      <c r="I14" s="385" t="s">
        <v>511</v>
      </c>
      <c r="J14" s="385" t="s">
        <v>512</v>
      </c>
      <c r="K14" s="362" t="s">
        <v>513</v>
      </c>
      <c r="L14" s="362" t="s">
        <v>514</v>
      </c>
    </row>
    <row r="15" spans="2:16" ht="15" x14ac:dyDescent="0.2">
      <c r="B15" s="386"/>
      <c r="C15" s="310" t="s">
        <v>515</v>
      </c>
      <c r="D15" s="362"/>
      <c r="E15" s="387"/>
      <c r="F15" s="362"/>
      <c r="G15" s="310">
        <f>F14-G14</f>
        <v>2.9699999999999998</v>
      </c>
      <c r="H15" s="310">
        <f>G14+G15</f>
        <v>4.97</v>
      </c>
      <c r="I15" s="387"/>
      <c r="J15" s="387"/>
      <c r="K15" s="362"/>
      <c r="L15" s="362"/>
    </row>
    <row r="16" spans="2:16" ht="15" x14ac:dyDescent="0.25">
      <c r="B16" s="183"/>
      <c r="C16" s="388" t="s">
        <v>139</v>
      </c>
      <c r="D16" s="183"/>
      <c r="E16" s="183"/>
      <c r="F16" s="389">
        <f>F14</f>
        <v>4.97</v>
      </c>
      <c r="G16" s="389"/>
      <c r="H16" s="389">
        <f>SUM(H14:H15)</f>
        <v>4.97</v>
      </c>
      <c r="I16" s="183"/>
      <c r="J16" s="183"/>
      <c r="K16" s="183"/>
      <c r="L16" s="183"/>
    </row>
    <row r="17" spans="2:12" ht="15" x14ac:dyDescent="0.2">
      <c r="B17" s="255"/>
      <c r="C17" s="377" t="s">
        <v>139</v>
      </c>
      <c r="D17" s="255"/>
      <c r="E17" s="255"/>
      <c r="F17" s="255"/>
      <c r="G17" s="255"/>
      <c r="H17" s="377"/>
      <c r="I17" s="255"/>
      <c r="J17" s="255"/>
      <c r="K17" s="255"/>
      <c r="L17" s="255"/>
    </row>
    <row r="18" spans="2:12" x14ac:dyDescent="0.2">
      <c r="B18" s="60" t="s">
        <v>250</v>
      </c>
      <c r="C18" s="48" t="s">
        <v>251</v>
      </c>
    </row>
  </sheetData>
  <mergeCells count="11">
    <mergeCell ref="L14:L15"/>
    <mergeCell ref="B2:L2"/>
    <mergeCell ref="B3:L3"/>
    <mergeCell ref="B4:L4"/>
    <mergeCell ref="B14:B15"/>
    <mergeCell ref="D14:D15"/>
    <mergeCell ref="E14:E15"/>
    <mergeCell ref="F14:F15"/>
    <mergeCell ref="I14:I15"/>
    <mergeCell ref="J14:J15"/>
    <mergeCell ref="K14:K15"/>
  </mergeCells>
  <pageMargins left="0.27" right="0.25" top="1" bottom="1" header="0.25" footer="0.25"/>
  <pageSetup paperSize="9" scale="53" fitToHeight="0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21"/>
  <sheetViews>
    <sheetView showGridLines="0" tabSelected="1" view="pageBreakPreview" zoomScaleSheetLayoutView="100" workbookViewId="0">
      <selection activeCell="B4" sqref="B4:F4"/>
    </sheetView>
  </sheetViews>
  <sheetFormatPr defaultColWidth="9.28515625" defaultRowHeight="14.25" x14ac:dyDescent="0.2"/>
  <cols>
    <col min="1" max="2" width="9.28515625" style="87"/>
    <col min="3" max="3" width="42" style="87" customWidth="1"/>
    <col min="4" max="4" width="16.28515625" style="87" customWidth="1"/>
    <col min="5" max="5" width="12.5703125" style="87" customWidth="1"/>
    <col min="6" max="6" width="16.28515625" style="87" customWidth="1"/>
    <col min="7" max="16384" width="9.28515625" style="87"/>
  </cols>
  <sheetData>
    <row r="2" spans="2:6" ht="14.25" customHeight="1" x14ac:dyDescent="0.2">
      <c r="B2" s="328" t="s">
        <v>401</v>
      </c>
      <c r="C2" s="328"/>
      <c r="D2" s="328"/>
      <c r="E2" s="328"/>
      <c r="F2" s="328"/>
    </row>
    <row r="3" spans="2:6" ht="14.25" customHeight="1" x14ac:dyDescent="0.2">
      <c r="B3" s="328" t="s">
        <v>467</v>
      </c>
      <c r="C3" s="328"/>
      <c r="D3" s="328"/>
      <c r="E3" s="328"/>
      <c r="F3" s="328"/>
    </row>
    <row r="4" spans="2:6" ht="14.25" customHeight="1" x14ac:dyDescent="0.2">
      <c r="B4" s="328" t="s">
        <v>298</v>
      </c>
      <c r="C4" s="328"/>
      <c r="D4" s="328"/>
      <c r="E4" s="328"/>
      <c r="F4" s="328"/>
    </row>
    <row r="6" spans="2:6" ht="15" customHeight="1" x14ac:dyDescent="0.2">
      <c r="B6" s="323" t="s">
        <v>193</v>
      </c>
      <c r="C6" s="335" t="s">
        <v>18</v>
      </c>
      <c r="D6" s="323" t="s">
        <v>403</v>
      </c>
      <c r="E6" s="135" t="s">
        <v>466</v>
      </c>
      <c r="F6" s="15" t="s">
        <v>465</v>
      </c>
    </row>
    <row r="7" spans="2:6" ht="15" x14ac:dyDescent="0.2">
      <c r="B7" s="323"/>
      <c r="C7" s="335"/>
      <c r="D7" s="323"/>
      <c r="E7" s="15" t="s">
        <v>239</v>
      </c>
      <c r="F7" s="15" t="s">
        <v>229</v>
      </c>
    </row>
    <row r="8" spans="2:6" ht="15" x14ac:dyDescent="0.2">
      <c r="B8" s="323"/>
      <c r="C8" s="335"/>
      <c r="D8" s="88" t="s">
        <v>3</v>
      </c>
      <c r="E8" s="15" t="s">
        <v>5</v>
      </c>
      <c r="F8" s="15" t="s">
        <v>8</v>
      </c>
    </row>
    <row r="9" spans="2:6" ht="15" x14ac:dyDescent="0.2">
      <c r="B9" s="89">
        <v>1</v>
      </c>
      <c r="C9" s="28" t="s">
        <v>299</v>
      </c>
      <c r="D9" s="110">
        <v>3.44</v>
      </c>
      <c r="E9" s="110">
        <v>0</v>
      </c>
      <c r="F9" s="110">
        <v>4.97</v>
      </c>
    </row>
    <row r="10" spans="2:6" x14ac:dyDescent="0.2">
      <c r="B10" s="28"/>
      <c r="C10" s="28"/>
      <c r="D10" s="103"/>
      <c r="E10" s="103"/>
      <c r="F10" s="103"/>
    </row>
    <row r="11" spans="2:6" ht="15" x14ac:dyDescent="0.2">
      <c r="B11" s="89">
        <v>2</v>
      </c>
      <c r="C11" s="90" t="s">
        <v>187</v>
      </c>
      <c r="D11" s="103"/>
      <c r="E11" s="103"/>
      <c r="F11" s="103"/>
    </row>
    <row r="12" spans="2:6" x14ac:dyDescent="0.2">
      <c r="B12" s="28"/>
      <c r="C12" s="28" t="s">
        <v>192</v>
      </c>
      <c r="D12" s="103"/>
      <c r="E12" s="103"/>
      <c r="F12" s="103"/>
    </row>
    <row r="13" spans="2:6" x14ac:dyDescent="0.2">
      <c r="B13" s="28"/>
      <c r="C13" s="28" t="s">
        <v>191</v>
      </c>
      <c r="D13" s="103"/>
      <c r="E13" s="103"/>
      <c r="F13" s="103"/>
    </row>
    <row r="14" spans="2:6" x14ac:dyDescent="0.2">
      <c r="B14" s="28"/>
      <c r="C14" s="28" t="s">
        <v>9</v>
      </c>
      <c r="D14" s="103"/>
      <c r="E14" s="103"/>
      <c r="F14" s="103"/>
    </row>
    <row r="15" spans="2:6" ht="15" x14ac:dyDescent="0.2">
      <c r="B15" s="28"/>
      <c r="C15" s="90" t="s">
        <v>185</v>
      </c>
      <c r="D15" s="110">
        <f>SUM(D12:D14)</f>
        <v>0</v>
      </c>
      <c r="E15" s="110">
        <f>SUM(E12:E14)</f>
        <v>0</v>
      </c>
      <c r="F15" s="110">
        <f>SUM(F12:F14)</f>
        <v>0</v>
      </c>
    </row>
    <row r="16" spans="2:6" x14ac:dyDescent="0.2">
      <c r="B16" s="28"/>
      <c r="C16" s="28"/>
      <c r="D16" s="103"/>
      <c r="E16" s="103"/>
      <c r="F16" s="103"/>
    </row>
    <row r="17" spans="2:6" x14ac:dyDescent="0.2">
      <c r="B17" s="89">
        <v>3</v>
      </c>
      <c r="C17" s="28" t="s">
        <v>0</v>
      </c>
      <c r="D17" s="103"/>
      <c r="E17" s="103"/>
      <c r="F17" s="103"/>
    </row>
    <row r="18" spans="2:6" x14ac:dyDescent="0.2">
      <c r="B18" s="89">
        <v>4</v>
      </c>
      <c r="C18" s="28" t="s">
        <v>188</v>
      </c>
      <c r="D18" s="103">
        <f>D9</f>
        <v>3.44</v>
      </c>
      <c r="E18" s="103">
        <f>E9</f>
        <v>0</v>
      </c>
      <c r="F18" s="103">
        <f>F9</f>
        <v>4.97</v>
      </c>
    </row>
    <row r="19" spans="2:6" x14ac:dyDescent="0.2">
      <c r="B19" s="89">
        <v>5</v>
      </c>
      <c r="C19" s="28" t="s">
        <v>300</v>
      </c>
      <c r="D19" s="103"/>
      <c r="E19" s="103"/>
      <c r="F19" s="103"/>
    </row>
    <row r="20" spans="2:6" ht="15" x14ac:dyDescent="0.2">
      <c r="B20" s="28"/>
      <c r="C20" s="28"/>
      <c r="D20" s="107"/>
      <c r="E20" s="107"/>
      <c r="F20" s="107"/>
    </row>
    <row r="21" spans="2:6" ht="15" x14ac:dyDescent="0.2">
      <c r="B21" s="89">
        <v>6</v>
      </c>
      <c r="C21" s="90" t="s">
        <v>301</v>
      </c>
      <c r="D21" s="110">
        <f>D15+D17+D18+D19</f>
        <v>3.44</v>
      </c>
      <c r="E21" s="110">
        <f>SUM(E18:E20)</f>
        <v>0</v>
      </c>
      <c r="F21" s="110">
        <f>F15+F17+F18+F19</f>
        <v>4.97</v>
      </c>
    </row>
  </sheetData>
  <mergeCells count="6">
    <mergeCell ref="D6:D7"/>
    <mergeCell ref="B6:B8"/>
    <mergeCell ref="C6:C8"/>
    <mergeCell ref="B2:F2"/>
    <mergeCell ref="B3:F3"/>
    <mergeCell ref="B4:F4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21</vt:i4>
      </vt:variant>
      <vt:variant>
        <vt:lpstr>Named Ranges</vt:lpstr>
      </vt:variant>
      <vt:variant>
        <vt:i4>3</vt:i4>
      </vt:variant>
    </vt:vector>
  </HeadingPairs>
  <TitlesOfParts>
    <vt:vector size="24" baseType="lpstr">
      <vt:lpstr>Checklist</vt:lpstr>
      <vt:lpstr>F1</vt:lpstr>
      <vt:lpstr>F2</vt:lpstr>
      <vt:lpstr>F2.1</vt:lpstr>
      <vt:lpstr>F2.2</vt:lpstr>
      <vt:lpstr>F2.3</vt:lpstr>
      <vt:lpstr>F3</vt:lpstr>
      <vt:lpstr>F3.1</vt:lpstr>
      <vt:lpstr>F3.2</vt:lpstr>
      <vt:lpstr>F4</vt:lpstr>
      <vt:lpstr>F5</vt:lpstr>
      <vt:lpstr>F6</vt:lpstr>
      <vt:lpstr>F7</vt:lpstr>
      <vt:lpstr>F8</vt:lpstr>
      <vt:lpstr>F9</vt:lpstr>
      <vt:lpstr>F10</vt:lpstr>
      <vt:lpstr>F11</vt:lpstr>
      <vt:lpstr>F11.1</vt:lpstr>
      <vt:lpstr>F12</vt:lpstr>
      <vt:lpstr>F13</vt:lpstr>
      <vt:lpstr>F15</vt:lpstr>
      <vt:lpstr>Checklist!Print_Area</vt:lpstr>
      <vt:lpstr>'F15'!Print_Area</vt:lpstr>
      <vt:lpstr>'F7'!Print_Area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Palaniappan M</dc:creator>
  <cp:lastModifiedBy>AE COMMERCIAL</cp:lastModifiedBy>
  <cp:lastPrinted>2025-11-28T10:29:40Z</cp:lastPrinted>
  <dcterms:created xsi:type="dcterms:W3CDTF">2004-07-28T05:30:50Z</dcterms:created>
  <dcterms:modified xsi:type="dcterms:W3CDTF">2025-12-16T10:31:52Z</dcterms:modified>
</cp:coreProperties>
</file>